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UMSIDA\Jurnal (TA)\"/>
    </mc:Choice>
  </mc:AlternateContent>
  <xr:revisionPtr revIDLastSave="0" documentId="13_ncr:1_{6C038712-01E1-4C4E-9821-B6A19FED388E}" xr6:coauthVersionLast="36" xr6:coauthVersionMax="36" xr10:uidLastSave="{00000000-0000-0000-0000-000000000000}"/>
  <bookViews>
    <workbookView xWindow="0" yWindow="0" windowWidth="23040" windowHeight="8424" xr2:uid="{0F77F1AE-A21F-4A80-BA6A-02DF84FD08E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35" i="1" l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W9" i="1" l="1"/>
  <c r="AI28" i="1"/>
  <c r="AJ28" i="1"/>
  <c r="W10" i="1"/>
  <c r="X9" i="1" l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52" i="1" l="1"/>
  <c r="X10" i="1"/>
  <c r="AB9" i="1"/>
  <c r="W21" i="1"/>
  <c r="AS139" i="1"/>
  <c r="AD28" i="1"/>
  <c r="AE40" i="1"/>
  <c r="AN28" i="1" s="1"/>
  <c r="AO28" i="1" s="1"/>
  <c r="AN34" i="1" s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I40" i="1"/>
  <c r="AI39" i="1"/>
  <c r="AI38" i="1"/>
  <c r="AI37" i="1"/>
  <c r="AI36" i="1"/>
  <c r="AI34" i="1"/>
  <c r="AI33" i="1"/>
  <c r="AI32" i="1"/>
  <c r="AI31" i="1"/>
  <c r="AI30" i="1"/>
  <c r="AI29" i="1"/>
  <c r="AB10" i="1" l="1"/>
  <c r="W20" i="1"/>
  <c r="W19" i="1"/>
  <c r="W18" i="1"/>
  <c r="W17" i="1"/>
  <c r="W16" i="1"/>
  <c r="W15" i="1"/>
  <c r="W14" i="1"/>
  <c r="W13" i="1"/>
  <c r="W12" i="1"/>
  <c r="W11" i="1"/>
  <c r="X11" i="1" s="1"/>
  <c r="X12" i="1" s="1"/>
  <c r="X13" i="1" l="1"/>
  <c r="AB11" i="1"/>
  <c r="AB12" i="1"/>
  <c r="R9" i="1"/>
  <c r="G18" i="1"/>
  <c r="AL28" i="1" l="1"/>
  <c r="AM28" i="1" s="1"/>
  <c r="AL34" i="1" s="1"/>
  <c r="X14" i="1"/>
  <c r="AB13" i="1"/>
  <c r="S20" i="1"/>
  <c r="S16" i="1"/>
  <c r="S18" i="1"/>
  <c r="S14" i="1"/>
  <c r="S10" i="1"/>
  <c r="S21" i="1"/>
  <c r="S17" i="1"/>
  <c r="S13" i="1"/>
  <c r="S9" i="1"/>
  <c r="S12" i="1"/>
  <c r="S19" i="1"/>
  <c r="S15" i="1"/>
  <c r="S11" i="1"/>
  <c r="B18" i="1"/>
  <c r="X15" i="1" l="1"/>
  <c r="AB14" i="1"/>
  <c r="X16" i="1" l="1"/>
  <c r="AB15" i="1"/>
  <c r="X17" i="1" l="1"/>
  <c r="AB16" i="1"/>
  <c r="X18" i="1" l="1"/>
  <c r="AB17" i="1"/>
  <c r="X19" i="1" l="1"/>
  <c r="AB18" i="1"/>
  <c r="X20" i="1" l="1"/>
  <c r="AB19" i="1"/>
  <c r="X21" i="1" l="1"/>
  <c r="AB21" i="1" s="1"/>
  <c r="AB20" i="1"/>
</calcChain>
</file>

<file path=xl/sharedStrings.xml><?xml version="1.0" encoding="utf-8"?>
<sst xmlns="http://schemas.openxmlformats.org/spreadsheetml/2006/main" count="119" uniqueCount="57">
  <si>
    <t>Data Proyek Awal</t>
  </si>
  <si>
    <t>2. Durasi Waktu Pekerjaan</t>
  </si>
  <si>
    <t>= 37 Minggu</t>
  </si>
  <si>
    <t>= Rp 49,355,132,824.28</t>
  </si>
  <si>
    <t>Minggu
Ke-</t>
  </si>
  <si>
    <t>BAC
(Rp)</t>
  </si>
  <si>
    <t>BCWS
(Rp)</t>
  </si>
  <si>
    <t>49,355,132,824.28</t>
  </si>
  <si>
    <t>Nilai BCWS (Budget cost of Work Schedule)</t>
  </si>
  <si>
    <t>Presentase  Bobot Rencana Kumulatif</t>
  </si>
  <si>
    <t>Bobot Aktual
Kumulatif
(%)</t>
  </si>
  <si>
    <t>Bobot Rencana
Kumulatif
(%)</t>
  </si>
  <si>
    <t>Belum</t>
  </si>
  <si>
    <t>BCWP
(Rp)</t>
  </si>
  <si>
    <t>-</t>
  </si>
  <si>
    <t>1. Total Rencana Angaran Biaya (BAC)</t>
  </si>
  <si>
    <t>Presentase Bobot Aktual Kumulatif</t>
  </si>
  <si>
    <t>Nilai BCWP ( Budget Cost of Work Performed)</t>
  </si>
  <si>
    <t>Biaya Pengeluaran
Kumulatif
(Rp)</t>
  </si>
  <si>
    <t>Biaya Pengeluaran
Per Minggu
(Rp)</t>
  </si>
  <si>
    <t>Biaya Pengeluaran yang didapat sampai minggu ke-</t>
  </si>
  <si>
    <t>ACWP
(Rp)</t>
  </si>
  <si>
    <t>Nilai ACWP ( Actual Cost of Work Performed)</t>
  </si>
  <si>
    <t>CV
(Rp)</t>
  </si>
  <si>
    <t>SV
(Rp)</t>
  </si>
  <si>
    <t>CPI</t>
  </si>
  <si>
    <t>SPI</t>
  </si>
  <si>
    <t>ETC
(Rp)</t>
  </si>
  <si>
    <t>EAC
(Rp)</t>
  </si>
  <si>
    <t>ETS</t>
  </si>
  <si>
    <t>EAS</t>
  </si>
  <si>
    <t>Selisih Biaya Sampai Akhir Pelaksanaan Proyek</t>
  </si>
  <si>
    <t>Selisih Jadwal Sampai Akhir Pelaksanaan Proyek</t>
  </si>
  <si>
    <t>No</t>
  </si>
  <si>
    <t>CV</t>
  </si>
  <si>
    <t>SV</t>
  </si>
  <si>
    <t>Keterangan</t>
  </si>
  <si>
    <t>+</t>
  </si>
  <si>
    <t>&gt; 1</t>
  </si>
  <si>
    <t>Kinerja yang Baik dan Hemat serta Kinerja Jadwal yang Baik dengan Jadwal Lebih Cepat dari Rencana</t>
  </si>
  <si>
    <t>Kinerja Biaya yang Baik dan sesuai anggaran serta Kinerja Jadwal yang Baik dengan Jadwal Lebih Cepat dari Rencana</t>
  </si>
  <si>
    <t>Kinerja Biaya yang Buruk dan Boros serta Kinerja Jadwal yang Baik dengan Jadwal Lebih Cepat dari Rencana</t>
  </si>
  <si>
    <t>Kinerja Biaya yang Baik dan Hemat serta Kinerja Jadwal yang Baik dengan Jadwal Tepat Waktu terhadap Rencana</t>
  </si>
  <si>
    <t>Kinerja Biaya yang Baik dan sesuai anggaran serta Kinerja Jadwal yang Baik dengan Jadwal Tepat Waktu terhadap Rencana</t>
  </si>
  <si>
    <t>&lt; 1</t>
  </si>
  <si>
    <t>Kinerja Biaya yang Buruk dan Boros serta Kinerja Jadwal yang Baik dengan Jadwal Tepat Waktu terhadap Rencana</t>
  </si>
  <si>
    <t>Kinerja Biaya yang Baik dan Hemat serta Kinerja Jadwal yang Buruk dengan Jadwal Terlambat terhadap Rencana</t>
  </si>
  <si>
    <t>Kinerja Biaya yang Baik dan sesuai anggaran serta Kinerja Jadwal yang Buruk dengan Jadwal Terlambat terhadap Rencana</t>
  </si>
  <si>
    <t>Kinerja Biaya yang Buruk dan Boros serta Kinerja Jadwal yang Buruk dengan Jadwal Terlambat terhadap Rencana</t>
  </si>
  <si>
    <t>Biaya Hemat dan Waktu Pelaksanaan
Lebih Cepat dari Rencana</t>
  </si>
  <si>
    <t>Biaya Boros dan Waktu Pelaksanaan
Lebih Cepat dari Rencana</t>
  </si>
  <si>
    <t>Biaya Seusai Reancana dan Waktu
Pelaksanaan terlambat dari Rencana</t>
  </si>
  <si>
    <t>Biaya Hemat dan Waktu Pelaksanaan
terlambat dari Rencana</t>
  </si>
  <si>
    <t>Biaya Boros dan Waktu Pelaksanaan
terlambat dari Rencana</t>
  </si>
  <si>
    <t>Biaya Sesuai Rencana dan Waktu
Pelaksanaan terlambat dari Rencana</t>
  </si>
  <si>
    <t>Biaya Boros dan Waktu Pelaksanaan
On Time dari Rencana</t>
  </si>
  <si>
    <t>Biaya Sesuai Rencana dan Waktu
Pelaksanaan On Time dari Rencan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</si>
</sst>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0" fontId="0" fillId="0" borderId="0" xfId="0" applyNumberFormat="1" applyBorder="1" applyAlignment="1">
      <alignment horizontal="center" vertical="center"/>
    </xf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4" fontId="0" fillId="0" borderId="0" xfId="0" applyNumberFormat="1"/>
    <xf numFmtId="2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5" borderId="0" xfId="0" applyNumberFormat="1" applyFill="1"/>
    <xf numFmtId="0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textRotation="90"/>
    </xf>
    <xf numFmtId="49" fontId="0" fillId="0" borderId="5" xfId="0" applyNumberFormat="1" applyFill="1" applyBorder="1" applyAlignment="1">
      <alignment horizontal="center" vertical="center" textRotation="90"/>
    </xf>
    <xf numFmtId="0" fontId="0" fillId="0" borderId="6" xfId="0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textRotation="90"/>
    </xf>
    <xf numFmtId="4" fontId="0" fillId="0" borderId="6" xfId="0" applyNumberFormat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Sheet1!$AI$8</c:f>
              <c:strCache>
                <c:ptCount val="1"/>
                <c:pt idx="0">
                  <c:v>BCWS
(Rp)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Sheet1!$AH$9:$AH$23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Sheet1!$AI$9:$AI$23</c:f>
              <c:numCache>
                <c:formatCode>#,##0.00</c:formatCode>
                <c:ptCount val="15"/>
                <c:pt idx="0">
                  <c:v>22491134028.024399</c:v>
                </c:pt>
                <c:pt idx="1">
                  <c:v>24504823447.25502</c:v>
                </c:pt>
                <c:pt idx="2">
                  <c:v>26646836211.828773</c:v>
                </c:pt>
                <c:pt idx="3">
                  <c:v>28788848976.402527</c:v>
                </c:pt>
                <c:pt idx="4">
                  <c:v>31695866299.752613</c:v>
                </c:pt>
                <c:pt idx="5">
                  <c:v>32791550248.45163</c:v>
                </c:pt>
                <c:pt idx="6">
                  <c:v>35279048942.795341</c:v>
                </c:pt>
                <c:pt idx="7">
                  <c:v>37702385964.467491</c:v>
                </c:pt>
                <c:pt idx="8">
                  <c:v>39982593100.949226</c:v>
                </c:pt>
                <c:pt idx="9">
                  <c:v>42213445104.606689</c:v>
                </c:pt>
                <c:pt idx="10">
                  <c:v>44217263497.272453</c:v>
                </c:pt>
                <c:pt idx="11">
                  <c:v>46097694057.877518</c:v>
                </c:pt>
                <c:pt idx="12">
                  <c:v>47721477927.796333</c:v>
                </c:pt>
                <c:pt idx="13">
                  <c:v>49009646894.51004</c:v>
                </c:pt>
                <c:pt idx="14">
                  <c:v>49355132824.279999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80-4F50-A92D-8C14F74AE744}"/>
            </c:ext>
          </c:extLst>
        </c:ser>
        <c:ser>
          <c:idx val="1"/>
          <c:order val="1"/>
          <c:tx>
            <c:strRef>
              <c:f>Sheet1!$AJ$8</c:f>
              <c:strCache>
                <c:ptCount val="1"/>
                <c:pt idx="0">
                  <c:v>BCWP
(Rp)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Sheet1!$AH$9:$AH$23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Sheet1!$AJ$9:$AJ$21</c:f>
              <c:numCache>
                <c:formatCode>#,##0.00</c:formatCode>
                <c:ptCount val="13"/>
                <c:pt idx="0">
                  <c:v>22703361099.1688</c:v>
                </c:pt>
                <c:pt idx="1">
                  <c:v>24677566412.139999</c:v>
                </c:pt>
                <c:pt idx="2">
                  <c:v>26651771725.111202</c:v>
                </c:pt>
                <c:pt idx="3">
                  <c:v>28625977038.082397</c:v>
                </c:pt>
                <c:pt idx="4">
                  <c:v>31587285007.5392</c:v>
                </c:pt>
                <c:pt idx="5">
                  <c:v>32574387664.024799</c:v>
                </c:pt>
                <c:pt idx="6">
                  <c:v>35042144305.2388</c:v>
                </c:pt>
                <c:pt idx="7">
                  <c:v>37509900946.452797</c:v>
                </c:pt>
                <c:pt idx="8">
                  <c:v>39977657587.666801</c:v>
                </c:pt>
                <c:pt idx="9">
                  <c:v>42445414228.880798</c:v>
                </c:pt>
                <c:pt idx="10">
                  <c:v>44419619541.851997</c:v>
                </c:pt>
                <c:pt idx="11">
                  <c:v>45900273526.580399</c:v>
                </c:pt>
                <c:pt idx="12">
                  <c:v>47874478839.551598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80-4F50-A92D-8C14F74AE744}"/>
            </c:ext>
          </c:extLst>
        </c:ser>
        <c:ser>
          <c:idx val="2"/>
          <c:order val="2"/>
          <c:tx>
            <c:strRef>
              <c:f>Sheet1!$AK$8</c:f>
              <c:strCache>
                <c:ptCount val="1"/>
                <c:pt idx="0">
                  <c:v>ACWP
(Rp)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Sheet1!$AH$9:$AH$23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Sheet1!$AK$9:$AK$21</c:f>
              <c:numCache>
                <c:formatCode>#,##0.00</c:formatCode>
                <c:ptCount val="13"/>
                <c:pt idx="0">
                  <c:v>22505940567.871628</c:v>
                </c:pt>
                <c:pt idx="1">
                  <c:v>24519629987.102253</c:v>
                </c:pt>
                <c:pt idx="2">
                  <c:v>26661642751.676006</c:v>
                </c:pt>
                <c:pt idx="3">
                  <c:v>28803655516.24976</c:v>
                </c:pt>
                <c:pt idx="4">
                  <c:v>30822280448.76281</c:v>
                </c:pt>
                <c:pt idx="5">
                  <c:v>32806356788.298866</c:v>
                </c:pt>
                <c:pt idx="6">
                  <c:v>35293855482.642578</c:v>
                </c:pt>
                <c:pt idx="7">
                  <c:v>37722128017.597153</c:v>
                </c:pt>
                <c:pt idx="8">
                  <c:v>40002335154.078888</c:v>
                </c:pt>
                <c:pt idx="9">
                  <c:v>42233187157.736343</c:v>
                </c:pt>
                <c:pt idx="10">
                  <c:v>44237005550.402115</c:v>
                </c:pt>
                <c:pt idx="11">
                  <c:v>46117436111.007179</c:v>
                </c:pt>
                <c:pt idx="12">
                  <c:v>47741219980.925995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80-4F50-A92D-8C14F74AE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577200"/>
        <c:axId val="13598128"/>
      </c:lineChart>
      <c:catAx>
        <c:axId val="401577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Minggu Ke-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8128"/>
        <c:crosses val="autoZero"/>
        <c:auto val="1"/>
        <c:lblAlgn val="ctr"/>
        <c:lblOffset val="100"/>
        <c:noMultiLvlLbl val="0"/>
      </c:catAx>
      <c:valAx>
        <c:axId val="13598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Baiaya (Rp)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577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b" anchorCtr="0"/>
        <a:lstStyle/>
        <a:p>
          <a:pPr>
            <a:defRPr sz="900" b="0" i="0" u="none" strike="noStrike" kern="1200" baseline="0">
              <a:ln>
                <a:noFill/>
              </a:ln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Grafik</a:t>
            </a:r>
            <a:r>
              <a:rPr lang="en-US" baseline="0"/>
              <a:t> Bobot Progress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Sheet1!$B$8</c:f>
              <c:strCache>
                <c:ptCount val="1"/>
                <c:pt idx="0">
                  <c:v>Bobot Rencana
Kumulatif
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Sheet1!$A$9:$A$23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Sheet1!$B$9:$B$23</c:f>
              <c:numCache>
                <c:formatCode>0%</c:formatCode>
                <c:ptCount val="15"/>
                <c:pt idx="0">
                  <c:v>0.45569999999999999</c:v>
                </c:pt>
                <c:pt idx="1">
                  <c:v>0.4965</c:v>
                </c:pt>
                <c:pt idx="2">
                  <c:v>0.53990000000000005</c:v>
                </c:pt>
                <c:pt idx="3">
                  <c:v>0.58330000000000004</c:v>
                </c:pt>
                <c:pt idx="4">
                  <c:v>0.64219999999999999</c:v>
                </c:pt>
                <c:pt idx="5">
                  <c:v>0.66439999999999999</c:v>
                </c:pt>
                <c:pt idx="6">
                  <c:v>0.71479999999999999</c:v>
                </c:pt>
                <c:pt idx="7">
                  <c:v>0.76390000000000002</c:v>
                </c:pt>
                <c:pt idx="8">
                  <c:v>0.81010000000000004</c:v>
                </c:pt>
                <c:pt idx="9">
                  <c:v>0.85530000000000006</c:v>
                </c:pt>
                <c:pt idx="10">
                  <c:v>0.89590000000000003</c:v>
                </c:pt>
                <c:pt idx="11">
                  <c:v>0.93400000000000005</c:v>
                </c:pt>
                <c:pt idx="12">
                  <c:v>0.96689999999999998</c:v>
                </c:pt>
                <c:pt idx="13">
                  <c:v>0.99299999999999999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FD-4A8C-B88B-1794E04AB678}"/>
            </c:ext>
          </c:extLst>
        </c:ser>
        <c:ser>
          <c:idx val="1"/>
          <c:order val="1"/>
          <c:tx>
            <c:strRef>
              <c:f>Sheet1!$M$8</c:f>
              <c:strCache>
                <c:ptCount val="1"/>
                <c:pt idx="0">
                  <c:v>Bobot Aktual
Kumulatif
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Sheet1!$A$9:$A$23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Sheet1!$M$9:$M$21</c:f>
              <c:numCache>
                <c:formatCode>0.00%</c:formatCode>
                <c:ptCount val="13"/>
                <c:pt idx="0">
                  <c:v>0.43569999999999998</c:v>
                </c:pt>
                <c:pt idx="1">
                  <c:v>0.46650000000000003</c:v>
                </c:pt>
                <c:pt idx="2">
                  <c:v>0.51</c:v>
                </c:pt>
                <c:pt idx="3">
                  <c:v>0.55330000000000001</c:v>
                </c:pt>
                <c:pt idx="4">
                  <c:v>0.59045000000000003</c:v>
                </c:pt>
                <c:pt idx="5">
                  <c:v>0.63007999999999997</c:v>
                </c:pt>
                <c:pt idx="6">
                  <c:v>0.66971000000000003</c:v>
                </c:pt>
                <c:pt idx="7">
                  <c:v>0.70933999999999997</c:v>
                </c:pt>
                <c:pt idx="8">
                  <c:v>0.74897000000000002</c:v>
                </c:pt>
                <c:pt idx="9">
                  <c:v>0.78859999999999997</c:v>
                </c:pt>
                <c:pt idx="10">
                  <c:v>0.82823000000000002</c:v>
                </c:pt>
                <c:pt idx="11">
                  <c:v>0.86785999999999996</c:v>
                </c:pt>
                <c:pt idx="12">
                  <c:v>0.90749000000000002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FD-4A8C-B88B-1794E04AB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953152"/>
        <c:axId val="244711088"/>
      </c:lineChart>
      <c:catAx>
        <c:axId val="144953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Minggu</a:t>
                </a:r>
                <a:r>
                  <a:rPr lang="en-US" baseline="0"/>
                  <a:t> Ke-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711088"/>
        <c:crosses val="autoZero"/>
        <c:auto val="1"/>
        <c:lblAlgn val="ctr"/>
        <c:lblOffset val="100"/>
        <c:noMultiLvlLbl val="0"/>
      </c:catAx>
      <c:valAx>
        <c:axId val="2447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Bobot Progress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5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Minggu</a:t>
            </a:r>
            <a:r>
              <a:rPr lang="en-US" sz="1000" baseline="0"/>
              <a:t> Ke-</a:t>
            </a:r>
            <a:endParaRPr lang="en-US" sz="1000"/>
          </a:p>
        </c:rich>
      </c:tx>
      <c:layout>
        <c:manualLayout>
          <c:xMode val="edge"/>
          <c:yMode val="edge"/>
          <c:x val="0.42816610926825899"/>
          <c:y val="0.923493259846961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1076065121578269E-2"/>
          <c:y val="9.0890379743113509E-2"/>
          <c:w val="0.82276838483476566"/>
          <c:h val="0.76001984175600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Sheet1!$AD$27</c:f>
              <c:strCache>
                <c:ptCount val="1"/>
                <c:pt idx="0">
                  <c:v>CPI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Sheet1!$AC$28:$AC$42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Sheet1!$AD$28:$AD$42</c:f>
              <c:numCache>
                <c:formatCode>0.00</c:formatCode>
                <c:ptCount val="15"/>
                <c:pt idx="0">
                  <c:v>1.0087719298245637</c:v>
                </c:pt>
                <c:pt idx="1">
                  <c:v>1.0064412238325302</c:v>
                </c:pt>
                <c:pt idx="2">
                  <c:v>0.99962976675305637</c:v>
                </c:pt>
                <c:pt idx="3">
                  <c:v>0.99383139136394949</c:v>
                </c:pt>
                <c:pt idx="4">
                  <c:v>1.0248198558847095</c:v>
                </c:pt>
                <c:pt idx="5">
                  <c:v>0.99292914096585072</c:v>
                </c:pt>
                <c:pt idx="6">
                  <c:v>0.99286813033142363</c:v>
                </c:pt>
                <c:pt idx="7">
                  <c:v>0.99437393693575948</c:v>
                </c:pt>
                <c:pt idx="8">
                  <c:v>0.99938309685379534</c:v>
                </c:pt>
                <c:pt idx="9">
                  <c:v>1.0050251256281419</c:v>
                </c:pt>
                <c:pt idx="10">
                  <c:v>1.0041280821153642</c:v>
                </c:pt>
                <c:pt idx="11">
                  <c:v>0.99529109589041209</c:v>
                </c:pt>
                <c:pt idx="12">
                  <c:v>1.0027912746821057</c:v>
                </c:pt>
                <c:pt idx="13" formatCode="General">
                  <c:v>0</c:v>
                </c:pt>
                <c:pt idx="14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00-4D33-82EA-CA16194B8B71}"/>
            </c:ext>
          </c:extLst>
        </c:ser>
        <c:ser>
          <c:idx val="1"/>
          <c:order val="1"/>
          <c:tx>
            <c:strRef>
              <c:f>Sheet1!$AE$27</c:f>
              <c:strCache>
                <c:ptCount val="1"/>
                <c:pt idx="0">
                  <c:v>SPI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Sheet1!$AC$28:$AC$42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</c:numCache>
            </c:numRef>
          </c:cat>
          <c:val>
            <c:numRef>
              <c:f>Sheet1!$AE$28:$AE$42</c:f>
              <c:numCache>
                <c:formatCode>0.00</c:formatCode>
                <c:ptCount val="15"/>
                <c:pt idx="0">
                  <c:v>1.0094360324775071</c:v>
                </c:pt>
                <c:pt idx="1">
                  <c:v>1.0070493454179255</c:v>
                </c:pt>
                <c:pt idx="2">
                  <c:v>1.0001852194850898</c:v>
                </c:pt>
                <c:pt idx="3">
                  <c:v>0.99434253385907745</c:v>
                </c:pt>
                <c:pt idx="4">
                  <c:v>0.99657427592650272</c:v>
                </c:pt>
                <c:pt idx="5">
                  <c:v>0.99337748344370869</c:v>
                </c:pt>
                <c:pt idx="6">
                  <c:v>0.99328483491885844</c:v>
                </c:pt>
                <c:pt idx="7">
                  <c:v>0.99489461971462223</c:v>
                </c:pt>
                <c:pt idx="8">
                  <c:v>0.99987655844957424</c:v>
                </c:pt>
                <c:pt idx="9">
                  <c:v>1.005495147901321</c:v>
                </c:pt>
                <c:pt idx="10">
                  <c:v>1.004576403616475</c:v>
                </c:pt>
                <c:pt idx="11">
                  <c:v>0.99571734475374729</c:v>
                </c:pt>
                <c:pt idx="12">
                  <c:v>1.0032061226600475</c:v>
                </c:pt>
                <c:pt idx="13" formatCode="General">
                  <c:v>0</c:v>
                </c:pt>
                <c:pt idx="14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00-4D33-82EA-CA16194B8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4059824"/>
        <c:axId val="1188070944"/>
      </c:barChart>
      <c:catAx>
        <c:axId val="99405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070944"/>
        <c:crosses val="autoZero"/>
        <c:auto val="1"/>
        <c:lblAlgn val="ctr"/>
        <c:lblOffset val="100"/>
        <c:noMultiLvlLbl val="0"/>
      </c:catAx>
      <c:valAx>
        <c:axId val="118807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405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90493990363867138"/>
          <c:y val="0.39152584267986956"/>
          <c:w val="6.4749615908432215E-2"/>
          <c:h val="0.117974116300849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219266</xdr:colOff>
      <xdr:row>24</xdr:row>
      <xdr:rowOff>183629</xdr:rowOff>
    </xdr:from>
    <xdr:to>
      <xdr:col>22</xdr:col>
      <xdr:colOff>82879</xdr:colOff>
      <xdr:row>42</xdr:row>
      <xdr:rowOff>162461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2B48CDA-10D6-4F24-B76C-DBCD5A7782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44175</xdr:colOff>
      <xdr:row>24</xdr:row>
      <xdr:rowOff>130313</xdr:rowOff>
    </xdr:from>
    <xdr:to>
      <xdr:col>12</xdr:col>
      <xdr:colOff>22087</xdr:colOff>
      <xdr:row>41</xdr:row>
      <xdr:rowOff>176696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329B03-BC9E-4B4F-A006-1471628CA0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50176</xdr:colOff>
      <xdr:row>44</xdr:row>
      <xdr:rowOff>169334</xdr:rowOff>
    </xdr:from>
    <xdr:to>
      <xdr:col>22</xdr:col>
      <xdr:colOff>250209</xdr:colOff>
      <xdr:row>64</xdr:row>
      <xdr:rowOff>147850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9A1735-EDE2-4174-9DC9-095268A4EF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8D7E1-94AE-42EF-97C8-766CB5472DA7}">
  <dimension ref="A2:AS139"/>
  <sheetViews>
    <sheetView showGridLines="0" tabSelected="1" topLeftCell="N19" zoomScale="69" zoomScaleNormal="130" workbookViewId="0">
      <selection activeCell="AB30" sqref="AB30"/>
    </sheetView>
  </sheetViews>
  <sheetFormatPr defaultRowHeight="14.4" x14ac:dyDescent="0.3"/>
  <cols>
    <col min="1" max="1" width="9.33203125" customWidth="1"/>
    <col min="2" max="2" width="16.109375" customWidth="1"/>
    <col min="3" max="3" width="9" customWidth="1"/>
    <col min="4" max="4" width="19.77734375" customWidth="1"/>
    <col min="6" max="6" width="7.6640625" customWidth="1"/>
    <col min="7" max="7" width="14" customWidth="1"/>
    <col min="8" max="8" width="16.5546875" bestFit="1" customWidth="1"/>
    <col min="9" max="9" width="19.44140625" customWidth="1"/>
    <col min="10" max="10" width="4.33203125" bestFit="1" customWidth="1"/>
    <col min="11" max="11" width="4.33203125" customWidth="1"/>
    <col min="12" max="12" width="8.33203125" customWidth="1"/>
    <col min="13" max="13" width="11.77734375" bestFit="1" customWidth="1"/>
    <col min="14" max="14" width="11.77734375" customWidth="1"/>
    <col min="15" max="15" width="7.77734375" customWidth="1"/>
    <col min="17" max="17" width="14.109375" customWidth="1"/>
    <col min="18" max="18" width="16.5546875" bestFit="1" customWidth="1"/>
    <col min="19" max="19" width="20" bestFit="1" customWidth="1"/>
    <col min="23" max="23" width="17.77734375" customWidth="1"/>
    <col min="24" max="24" width="18.88671875" customWidth="1"/>
    <col min="25" max="25" width="8.88671875" customWidth="1"/>
    <col min="28" max="28" width="17.88671875" customWidth="1"/>
    <col min="29" max="29" width="7.21875" bestFit="1" customWidth="1"/>
    <col min="34" max="34" width="7.6640625" bestFit="1" customWidth="1"/>
    <col min="35" max="35" width="18" customWidth="1"/>
    <col min="36" max="37" width="17.77734375" bestFit="1" customWidth="1"/>
    <col min="38" max="42" width="18.109375" customWidth="1"/>
    <col min="43" max="43" width="23.6640625" style="11" customWidth="1"/>
    <col min="44" max="45" width="17.21875" bestFit="1" customWidth="1"/>
    <col min="48" max="48" width="18.44140625" bestFit="1" customWidth="1"/>
  </cols>
  <sheetData>
    <row r="2" spans="1:42" x14ac:dyDescent="0.3">
      <c r="A2" t="s">
        <v>0</v>
      </c>
      <c r="F2" s="1"/>
    </row>
    <row r="3" spans="1:42" x14ac:dyDescent="0.3">
      <c r="A3" t="s">
        <v>15</v>
      </c>
      <c r="D3" s="1" t="s">
        <v>3</v>
      </c>
      <c r="F3" s="11"/>
      <c r="G3" s="11"/>
    </row>
    <row r="4" spans="1:42" x14ac:dyDescent="0.3">
      <c r="A4" t="s">
        <v>1</v>
      </c>
      <c r="D4" s="1" t="s">
        <v>2</v>
      </c>
    </row>
    <row r="6" spans="1:42" x14ac:dyDescent="0.3">
      <c r="A6" s="9" t="s">
        <v>9</v>
      </c>
      <c r="B6" s="9"/>
      <c r="C6" s="9"/>
      <c r="F6" s="9" t="s">
        <v>8</v>
      </c>
      <c r="G6" s="9"/>
      <c r="H6" s="9"/>
      <c r="I6" s="9"/>
      <c r="L6" s="10" t="s">
        <v>16</v>
      </c>
      <c r="M6" s="10"/>
      <c r="N6" s="10"/>
      <c r="P6" s="10" t="s">
        <v>17</v>
      </c>
      <c r="Q6" s="10"/>
      <c r="R6" s="10"/>
      <c r="S6" s="10"/>
      <c r="V6" s="12" t="s">
        <v>20</v>
      </c>
      <c r="W6" s="12"/>
      <c r="X6" s="12"/>
      <c r="AA6" t="s">
        <v>22</v>
      </c>
    </row>
    <row r="8" spans="1:42" ht="53.4" customHeight="1" x14ac:dyDescent="0.3">
      <c r="A8" s="2" t="s">
        <v>4</v>
      </c>
      <c r="B8" s="2" t="s">
        <v>11</v>
      </c>
      <c r="F8" s="30" t="s">
        <v>4</v>
      </c>
      <c r="G8" s="30" t="s">
        <v>11</v>
      </c>
      <c r="H8" s="30" t="s">
        <v>5</v>
      </c>
      <c r="I8" s="30" t="s">
        <v>6</v>
      </c>
      <c r="L8" s="2" t="s">
        <v>4</v>
      </c>
      <c r="M8" s="2" t="s">
        <v>10</v>
      </c>
      <c r="N8" s="7"/>
      <c r="P8" s="30" t="s">
        <v>4</v>
      </c>
      <c r="Q8" s="30" t="s">
        <v>10</v>
      </c>
      <c r="R8" s="30" t="s">
        <v>5</v>
      </c>
      <c r="S8" s="30" t="s">
        <v>13</v>
      </c>
      <c r="V8" s="30" t="s">
        <v>4</v>
      </c>
      <c r="W8" s="30" t="s">
        <v>19</v>
      </c>
      <c r="X8" s="30" t="s">
        <v>18</v>
      </c>
      <c r="AA8" s="2" t="s">
        <v>4</v>
      </c>
      <c r="AB8" s="2" t="s">
        <v>21</v>
      </c>
      <c r="AH8" s="30" t="s">
        <v>4</v>
      </c>
      <c r="AI8" s="30" t="s">
        <v>6</v>
      </c>
      <c r="AJ8" s="30" t="s">
        <v>13</v>
      </c>
      <c r="AK8" s="30" t="s">
        <v>21</v>
      </c>
      <c r="AL8" s="7"/>
      <c r="AM8" s="7"/>
      <c r="AN8" s="7"/>
      <c r="AO8" s="7"/>
      <c r="AP8" s="7"/>
    </row>
    <row r="9" spans="1:42" ht="14.4" customHeight="1" x14ac:dyDescent="0.3">
      <c r="A9" s="3">
        <v>23</v>
      </c>
      <c r="B9" s="6">
        <v>0.45569999999999999</v>
      </c>
      <c r="F9" s="16">
        <v>23</v>
      </c>
      <c r="G9" s="8">
        <v>0.45569999999999999</v>
      </c>
      <c r="H9" s="33" t="s">
        <v>7</v>
      </c>
      <c r="I9" s="15">
        <f>G9*H9</f>
        <v>22491134028.024395</v>
      </c>
      <c r="L9" s="3">
        <v>23</v>
      </c>
      <c r="M9" s="4">
        <v>0.43569999999999998</v>
      </c>
      <c r="N9" s="8"/>
      <c r="P9" s="35">
        <v>23</v>
      </c>
      <c r="Q9" s="36">
        <v>0.46</v>
      </c>
      <c r="R9" s="37" t="str">
        <f>H9</f>
        <v>49,355,132,824.28</v>
      </c>
      <c r="S9" s="38">
        <f>Q9*R9</f>
        <v>22703361099.1688</v>
      </c>
      <c r="V9" s="16">
        <v>23</v>
      </c>
      <c r="W9" s="15">
        <f>(49355132824.28*4.01)/100</f>
        <v>1979140826.253628</v>
      </c>
      <c r="X9" s="15">
        <f>20526799741.618+W9</f>
        <v>22505940567.871628</v>
      </c>
      <c r="AA9" s="3">
        <v>23</v>
      </c>
      <c r="AB9" s="5">
        <f>X9</f>
        <v>22505940567.871628</v>
      </c>
      <c r="AH9" s="16">
        <v>23</v>
      </c>
      <c r="AI9" s="15">
        <v>22491134028.024399</v>
      </c>
      <c r="AJ9" s="15">
        <v>22703361099.1688</v>
      </c>
      <c r="AK9" s="15">
        <v>22505940567.871628</v>
      </c>
      <c r="AL9" s="15"/>
      <c r="AM9" s="15"/>
      <c r="AN9" s="15"/>
      <c r="AO9" s="15"/>
      <c r="AP9" s="15"/>
    </row>
    <row r="10" spans="1:42" x14ac:dyDescent="0.3">
      <c r="A10" s="3">
        <v>24</v>
      </c>
      <c r="B10" s="6">
        <v>0.4965</v>
      </c>
      <c r="D10" s="18"/>
      <c r="F10" s="16">
        <v>24</v>
      </c>
      <c r="G10" s="8">
        <v>0.4965</v>
      </c>
      <c r="H10" s="33"/>
      <c r="I10" s="15">
        <f>G10*H9</f>
        <v>24504823447.25502</v>
      </c>
      <c r="L10" s="3">
        <v>24</v>
      </c>
      <c r="M10" s="4">
        <v>0.46650000000000003</v>
      </c>
      <c r="N10" s="8"/>
      <c r="P10" s="16">
        <v>24</v>
      </c>
      <c r="Q10" s="8">
        <v>0.5</v>
      </c>
      <c r="R10" s="31"/>
      <c r="S10" s="15">
        <f>Q10*R9</f>
        <v>24677566412.139999</v>
      </c>
      <c r="V10" s="16">
        <v>24</v>
      </c>
      <c r="W10" s="15">
        <f>(49355132824.28*4.08)/100</f>
        <v>2013689419.2306242</v>
      </c>
      <c r="X10" s="15">
        <f t="shared" ref="X10:X21" si="0">X9+W10</f>
        <v>24519629987.102253</v>
      </c>
      <c r="AA10" s="3">
        <v>24</v>
      </c>
      <c r="AB10" s="5">
        <f t="shared" ref="AB10:AB21" si="1">X10</f>
        <v>24519629987.102253</v>
      </c>
      <c r="AH10" s="16">
        <v>24</v>
      </c>
      <c r="AI10" s="15">
        <v>24504823447.25502</v>
      </c>
      <c r="AJ10" s="15">
        <v>24677566412.139999</v>
      </c>
      <c r="AK10" s="15">
        <v>24519629987.102253</v>
      </c>
      <c r="AL10" s="15"/>
      <c r="AM10" s="15"/>
      <c r="AN10" s="15"/>
      <c r="AO10" s="15"/>
      <c r="AP10" s="15"/>
    </row>
    <row r="11" spans="1:42" x14ac:dyDescent="0.3">
      <c r="A11" s="3">
        <v>25</v>
      </c>
      <c r="B11" s="6">
        <v>0.53990000000000005</v>
      </c>
      <c r="F11" s="16">
        <v>25</v>
      </c>
      <c r="G11" s="8">
        <v>0.53990000000000005</v>
      </c>
      <c r="H11" s="33"/>
      <c r="I11" s="15">
        <f>G11*H9</f>
        <v>26646836211.828773</v>
      </c>
      <c r="L11" s="3">
        <v>25</v>
      </c>
      <c r="M11" s="4">
        <v>0.51</v>
      </c>
      <c r="N11" s="8"/>
      <c r="P11" s="16">
        <v>25</v>
      </c>
      <c r="Q11" s="8">
        <v>0.54</v>
      </c>
      <c r="R11" s="31"/>
      <c r="S11" s="15">
        <f>Q11*R9</f>
        <v>26651771725.111202</v>
      </c>
      <c r="V11" s="16">
        <v>25</v>
      </c>
      <c r="W11" s="15">
        <f>(49355132824.28*4.34)/100</f>
        <v>2142012764.5737519</v>
      </c>
      <c r="X11" s="15">
        <f t="shared" si="0"/>
        <v>26661642751.676006</v>
      </c>
      <c r="AA11" s="3">
        <v>25</v>
      </c>
      <c r="AB11" s="5">
        <f t="shared" si="1"/>
        <v>26661642751.676006</v>
      </c>
      <c r="AH11" s="16">
        <v>25</v>
      </c>
      <c r="AI11" s="15">
        <v>26646836211.828773</v>
      </c>
      <c r="AJ11" s="15">
        <v>26651771725.111202</v>
      </c>
      <c r="AK11" s="15">
        <v>26661642751.676006</v>
      </c>
      <c r="AL11" s="15"/>
      <c r="AM11" s="15"/>
      <c r="AN11" s="15"/>
      <c r="AO11" s="15"/>
      <c r="AP11" s="15"/>
    </row>
    <row r="12" spans="1:42" x14ac:dyDescent="0.3">
      <c r="A12" s="3">
        <v>26</v>
      </c>
      <c r="B12" s="6">
        <v>0.58330000000000004</v>
      </c>
      <c r="F12" s="16">
        <v>26</v>
      </c>
      <c r="G12" s="8">
        <v>0.58330000000000004</v>
      </c>
      <c r="H12" s="33"/>
      <c r="I12" s="15">
        <f>G12*H9</f>
        <v>28788848976.402527</v>
      </c>
      <c r="L12" s="3">
        <v>26</v>
      </c>
      <c r="M12" s="4">
        <v>0.55330000000000001</v>
      </c>
      <c r="N12" s="8"/>
      <c r="P12" s="16">
        <v>26</v>
      </c>
      <c r="Q12" s="8">
        <v>0.57999999999999996</v>
      </c>
      <c r="R12" s="31"/>
      <c r="S12" s="15">
        <f>Q12*R9</f>
        <v>28625977038.082397</v>
      </c>
      <c r="V12" s="16">
        <v>26</v>
      </c>
      <c r="W12" s="15">
        <f>(49355132824.28*4.34)/100</f>
        <v>2142012764.5737519</v>
      </c>
      <c r="X12" s="15">
        <f t="shared" si="0"/>
        <v>28803655516.24976</v>
      </c>
      <c r="AA12" s="3">
        <v>26</v>
      </c>
      <c r="AB12" s="5">
        <f t="shared" si="1"/>
        <v>28803655516.24976</v>
      </c>
      <c r="AH12" s="16">
        <v>26</v>
      </c>
      <c r="AI12" s="15">
        <v>28788848976.402527</v>
      </c>
      <c r="AJ12" s="15">
        <v>28625977038.082397</v>
      </c>
      <c r="AK12" s="15">
        <v>28803655516.24976</v>
      </c>
      <c r="AL12" s="15"/>
      <c r="AM12" s="15"/>
      <c r="AN12" s="15"/>
      <c r="AO12" s="15"/>
      <c r="AP12" s="15"/>
    </row>
    <row r="13" spans="1:42" x14ac:dyDescent="0.3">
      <c r="A13" s="3">
        <v>27</v>
      </c>
      <c r="B13" s="6">
        <v>0.64219999999999999</v>
      </c>
      <c r="F13" s="16">
        <v>27</v>
      </c>
      <c r="G13" s="8">
        <v>0.64219999999999999</v>
      </c>
      <c r="H13" s="33"/>
      <c r="I13" s="15">
        <f>G13*H9</f>
        <v>31695866299.752613</v>
      </c>
      <c r="L13" s="3">
        <v>27</v>
      </c>
      <c r="M13" s="4">
        <v>0.59045000000000003</v>
      </c>
      <c r="N13" s="8"/>
      <c r="P13" s="16">
        <v>27</v>
      </c>
      <c r="Q13" s="8">
        <v>0.64</v>
      </c>
      <c r="R13" s="31"/>
      <c r="S13" s="15">
        <f>Q13*R9</f>
        <v>31587285007.5392</v>
      </c>
      <c r="V13" s="16">
        <v>27</v>
      </c>
      <c r="W13" s="15">
        <f>(49355132824.28*4.09)/100</f>
        <v>2018624932.5130517</v>
      </c>
      <c r="X13" s="15">
        <f t="shared" si="0"/>
        <v>30822280448.76281</v>
      </c>
      <c r="AA13" s="3">
        <v>27</v>
      </c>
      <c r="AB13" s="5">
        <f t="shared" si="1"/>
        <v>30822280448.76281</v>
      </c>
      <c r="AH13" s="16">
        <v>27</v>
      </c>
      <c r="AI13" s="15">
        <v>31695866299.752613</v>
      </c>
      <c r="AJ13" s="15">
        <v>31587285007.5392</v>
      </c>
      <c r="AK13" s="15">
        <v>30822280448.76281</v>
      </c>
      <c r="AL13" s="15"/>
      <c r="AM13" s="15"/>
      <c r="AN13" s="15"/>
      <c r="AO13" s="15"/>
      <c r="AP13" s="15"/>
    </row>
    <row r="14" spans="1:42" x14ac:dyDescent="0.3">
      <c r="A14" s="3">
        <v>28</v>
      </c>
      <c r="B14" s="6">
        <v>0.66439999999999999</v>
      </c>
      <c r="F14" s="16">
        <v>28</v>
      </c>
      <c r="G14" s="8">
        <v>0.66439999999999999</v>
      </c>
      <c r="H14" s="33"/>
      <c r="I14" s="15">
        <f>G14*H9</f>
        <v>32791550248.45163</v>
      </c>
      <c r="L14" s="3">
        <v>28</v>
      </c>
      <c r="M14" s="4">
        <v>0.63007999999999997</v>
      </c>
      <c r="N14" s="8"/>
      <c r="P14" s="16">
        <v>28</v>
      </c>
      <c r="Q14" s="8">
        <v>0.66</v>
      </c>
      <c r="R14" s="31"/>
      <c r="S14" s="15">
        <f>Q14*R9</f>
        <v>32574387664.024799</v>
      </c>
      <c r="V14" s="16">
        <v>28</v>
      </c>
      <c r="W14" s="15">
        <f>(49355132824.28*4.02)/100</f>
        <v>1984076339.5360556</v>
      </c>
      <c r="X14" s="15">
        <f t="shared" si="0"/>
        <v>32806356788.298866</v>
      </c>
      <c r="AA14" s="3">
        <v>28</v>
      </c>
      <c r="AB14" s="5">
        <f t="shared" si="1"/>
        <v>32806356788.298866</v>
      </c>
      <c r="AH14" s="16">
        <v>28</v>
      </c>
      <c r="AI14" s="15">
        <v>32791550248.45163</v>
      </c>
      <c r="AJ14" s="15">
        <v>32574387664.024799</v>
      </c>
      <c r="AK14" s="15">
        <v>32806356788.298866</v>
      </c>
      <c r="AL14" s="15"/>
      <c r="AM14" s="15"/>
      <c r="AN14" s="15"/>
      <c r="AO14" s="15"/>
      <c r="AP14" s="15"/>
    </row>
    <row r="15" spans="1:42" x14ac:dyDescent="0.3">
      <c r="A15" s="3">
        <v>29</v>
      </c>
      <c r="B15" s="6">
        <v>0.71479999999999999</v>
      </c>
      <c r="F15" s="16">
        <v>29</v>
      </c>
      <c r="G15" s="8">
        <v>0.71479999999999999</v>
      </c>
      <c r="H15" s="33"/>
      <c r="I15" s="15">
        <f>G15*H9</f>
        <v>35279048942.795341</v>
      </c>
      <c r="L15" s="3">
        <v>29</v>
      </c>
      <c r="M15" s="4">
        <v>0.66971000000000003</v>
      </c>
      <c r="N15" s="8"/>
      <c r="P15" s="16">
        <v>29</v>
      </c>
      <c r="Q15" s="8">
        <v>0.71</v>
      </c>
      <c r="R15" s="31"/>
      <c r="S15" s="15">
        <f>Q15*R9</f>
        <v>35042144305.2388</v>
      </c>
      <c r="V15" s="16">
        <v>29</v>
      </c>
      <c r="W15" s="15">
        <f>(49355132824.28*5.04)/100</f>
        <v>2487498694.3437119</v>
      </c>
      <c r="X15" s="15">
        <f t="shared" si="0"/>
        <v>35293855482.642578</v>
      </c>
      <c r="AA15" s="3">
        <v>29</v>
      </c>
      <c r="AB15" s="5">
        <f t="shared" si="1"/>
        <v>35293855482.642578</v>
      </c>
      <c r="AH15" s="16">
        <v>29</v>
      </c>
      <c r="AI15" s="15">
        <v>35279048942.795341</v>
      </c>
      <c r="AJ15" s="15">
        <v>35042144305.2388</v>
      </c>
      <c r="AK15" s="15">
        <v>35293855482.642578</v>
      </c>
      <c r="AL15" s="15"/>
      <c r="AM15" s="15"/>
      <c r="AN15" s="15"/>
      <c r="AO15" s="15"/>
      <c r="AP15" s="15"/>
    </row>
    <row r="16" spans="1:42" x14ac:dyDescent="0.3">
      <c r="A16" s="3">
        <v>30</v>
      </c>
      <c r="B16" s="6">
        <v>0.76390000000000002</v>
      </c>
      <c r="F16" s="16">
        <v>30</v>
      </c>
      <c r="G16" s="8">
        <v>0.76390000000000002</v>
      </c>
      <c r="H16" s="33"/>
      <c r="I16" s="15">
        <f>G16*H9</f>
        <v>37702385964.467491</v>
      </c>
      <c r="L16" s="3">
        <v>30</v>
      </c>
      <c r="M16" s="4">
        <v>0.70933999999999997</v>
      </c>
      <c r="N16" s="8"/>
      <c r="P16" s="16">
        <v>30</v>
      </c>
      <c r="Q16" s="8">
        <v>0.76</v>
      </c>
      <c r="R16" s="31"/>
      <c r="S16" s="15">
        <f>Q16*R9</f>
        <v>37509900946.452797</v>
      </c>
      <c r="V16" s="16">
        <v>30</v>
      </c>
      <c r="W16" s="15">
        <f>(49355132824.28*4.92)/100</f>
        <v>2428272534.954576</v>
      </c>
      <c r="X16" s="15">
        <f t="shared" si="0"/>
        <v>37722128017.597153</v>
      </c>
      <c r="AA16" s="3">
        <v>30</v>
      </c>
      <c r="AB16" s="5">
        <f t="shared" si="1"/>
        <v>37722128017.597153</v>
      </c>
      <c r="AH16" s="16">
        <v>30</v>
      </c>
      <c r="AI16" s="15">
        <v>37702385964.467491</v>
      </c>
      <c r="AJ16" s="15">
        <v>37509900946.452797</v>
      </c>
      <c r="AK16" s="15">
        <v>37722128017.597153</v>
      </c>
      <c r="AL16" s="15"/>
      <c r="AM16" s="15"/>
      <c r="AN16" s="15"/>
      <c r="AO16" s="15"/>
      <c r="AP16" s="15"/>
    </row>
    <row r="17" spans="1:45" x14ac:dyDescent="0.3">
      <c r="A17" s="3">
        <v>31</v>
      </c>
      <c r="B17" s="6">
        <v>0.81010000000000004</v>
      </c>
      <c r="F17" s="16">
        <v>31</v>
      </c>
      <c r="G17" s="8">
        <v>0.81010000000000004</v>
      </c>
      <c r="H17" s="33"/>
      <c r="I17" s="15">
        <f>G17*H9</f>
        <v>39982593100.949226</v>
      </c>
      <c r="L17" s="3">
        <v>31</v>
      </c>
      <c r="M17" s="4">
        <v>0.74897000000000002</v>
      </c>
      <c r="N17" s="8"/>
      <c r="P17" s="16">
        <v>31</v>
      </c>
      <c r="Q17" s="8">
        <v>0.81</v>
      </c>
      <c r="R17" s="31"/>
      <c r="S17" s="15">
        <f>Q17*R9</f>
        <v>39977657587.666801</v>
      </c>
      <c r="V17" s="16">
        <v>31</v>
      </c>
      <c r="W17" s="15">
        <f>(49355132824.28*4.62)/100</f>
        <v>2280207136.4817362</v>
      </c>
      <c r="X17" s="15">
        <f t="shared" si="0"/>
        <v>40002335154.078888</v>
      </c>
      <c r="AA17" s="3">
        <v>31</v>
      </c>
      <c r="AB17" s="5">
        <f t="shared" si="1"/>
        <v>40002335154.078888</v>
      </c>
      <c r="AH17" s="16">
        <v>31</v>
      </c>
      <c r="AI17" s="15">
        <v>39982593100.949226</v>
      </c>
      <c r="AJ17" s="15">
        <v>39977657587.666801</v>
      </c>
      <c r="AK17" s="15">
        <v>40002335154.078888</v>
      </c>
      <c r="AL17" s="15"/>
      <c r="AM17" s="15"/>
      <c r="AN17" s="15"/>
      <c r="AO17" s="15"/>
      <c r="AP17" s="15"/>
    </row>
    <row r="18" spans="1:45" x14ac:dyDescent="0.3">
      <c r="A18" s="3">
        <v>32</v>
      </c>
      <c r="B18" s="6">
        <f>85.53%</f>
        <v>0.85530000000000006</v>
      </c>
      <c r="F18" s="16">
        <v>32</v>
      </c>
      <c r="G18" s="8">
        <f>85.53%</f>
        <v>0.85530000000000006</v>
      </c>
      <c r="H18" s="33"/>
      <c r="I18" s="15">
        <f>G18*H9</f>
        <v>42213445104.606689</v>
      </c>
      <c r="L18" s="3">
        <v>32</v>
      </c>
      <c r="M18" s="4">
        <v>0.78859999999999997</v>
      </c>
      <c r="N18" s="8"/>
      <c r="P18" s="16">
        <v>32</v>
      </c>
      <c r="Q18" s="8">
        <v>0.86</v>
      </c>
      <c r="R18" s="31"/>
      <c r="S18" s="15">
        <f>Q18*R9</f>
        <v>42445414228.880798</v>
      </c>
      <c r="V18" s="16">
        <v>32</v>
      </c>
      <c r="W18" s="15">
        <f>(49355132824.28*4.52)/100</f>
        <v>2230852003.6574559</v>
      </c>
      <c r="X18" s="15">
        <f t="shared" si="0"/>
        <v>42233187157.736343</v>
      </c>
      <c r="AA18" s="3">
        <v>32</v>
      </c>
      <c r="AB18" s="5">
        <f t="shared" si="1"/>
        <v>42233187157.736343</v>
      </c>
      <c r="AH18" s="16">
        <v>32</v>
      </c>
      <c r="AI18" s="15">
        <v>42213445104.606689</v>
      </c>
      <c r="AJ18" s="15">
        <v>42445414228.880798</v>
      </c>
      <c r="AK18" s="15">
        <v>42233187157.736343</v>
      </c>
      <c r="AL18" s="15"/>
      <c r="AM18" s="15"/>
      <c r="AN18" s="15"/>
      <c r="AO18" s="15"/>
      <c r="AP18" s="15"/>
    </row>
    <row r="19" spans="1:45" x14ac:dyDescent="0.3">
      <c r="A19" s="3">
        <v>33</v>
      </c>
      <c r="B19" s="6">
        <v>0.89590000000000003</v>
      </c>
      <c r="F19" s="16">
        <v>33</v>
      </c>
      <c r="G19" s="8">
        <v>0.89590000000000003</v>
      </c>
      <c r="H19" s="33"/>
      <c r="I19" s="15">
        <f>G19*H9</f>
        <v>44217263497.272453</v>
      </c>
      <c r="L19" s="3">
        <v>33</v>
      </c>
      <c r="M19" s="4">
        <v>0.82823000000000002</v>
      </c>
      <c r="N19" s="8"/>
      <c r="P19" s="16">
        <v>33</v>
      </c>
      <c r="Q19" s="8">
        <v>0.9</v>
      </c>
      <c r="R19" s="31"/>
      <c r="S19" s="15">
        <f>Q19*R9</f>
        <v>44419619541.851997</v>
      </c>
      <c r="V19" s="16">
        <v>33</v>
      </c>
      <c r="W19" s="15">
        <f>(49355132824.28*4.06)/100</f>
        <v>2003818392.6657679</v>
      </c>
      <c r="X19" s="15">
        <f t="shared" si="0"/>
        <v>44237005550.402115</v>
      </c>
      <c r="AA19" s="3">
        <v>33</v>
      </c>
      <c r="AB19" s="5">
        <f t="shared" si="1"/>
        <v>44237005550.402115</v>
      </c>
      <c r="AH19" s="16">
        <v>33</v>
      </c>
      <c r="AI19" s="15">
        <v>44217263497.272453</v>
      </c>
      <c r="AJ19" s="15">
        <v>44419619541.851997</v>
      </c>
      <c r="AK19" s="15">
        <v>44237005550.402115</v>
      </c>
      <c r="AL19" s="15"/>
      <c r="AM19" s="15"/>
      <c r="AN19" s="15"/>
      <c r="AO19" s="15"/>
      <c r="AP19" s="15"/>
    </row>
    <row r="20" spans="1:45" x14ac:dyDescent="0.3">
      <c r="A20" s="3">
        <v>34</v>
      </c>
      <c r="B20" s="6">
        <v>0.93400000000000005</v>
      </c>
      <c r="F20" s="16">
        <v>34</v>
      </c>
      <c r="G20" s="8">
        <v>0.93400000000000005</v>
      </c>
      <c r="H20" s="33"/>
      <c r="I20" s="15">
        <f>G20*H9</f>
        <v>46097694057.877518</v>
      </c>
      <c r="L20" s="3">
        <v>34</v>
      </c>
      <c r="M20" s="4">
        <v>0.86785999999999996</v>
      </c>
      <c r="N20" s="8"/>
      <c r="P20" s="16">
        <v>34</v>
      </c>
      <c r="Q20" s="8">
        <v>0.93</v>
      </c>
      <c r="R20" s="31"/>
      <c r="S20" s="15">
        <f>Q20*R9</f>
        <v>45900273526.580399</v>
      </c>
      <c r="V20" s="16">
        <v>34</v>
      </c>
      <c r="W20" s="15">
        <f>(49355132824.28*3.81)/100</f>
        <v>1880430560.605068</v>
      </c>
      <c r="X20" s="15">
        <f t="shared" si="0"/>
        <v>46117436111.007179</v>
      </c>
      <c r="AA20" s="3">
        <v>34</v>
      </c>
      <c r="AB20" s="5">
        <f t="shared" si="1"/>
        <v>46117436111.007179</v>
      </c>
      <c r="AH20" s="16">
        <v>34</v>
      </c>
      <c r="AI20" s="15">
        <v>46097694057.877518</v>
      </c>
      <c r="AJ20" s="15">
        <v>45900273526.580399</v>
      </c>
      <c r="AK20" s="15">
        <v>46117436111.007179</v>
      </c>
      <c r="AL20" s="15"/>
      <c r="AM20" s="15"/>
      <c r="AN20" s="15"/>
      <c r="AO20" s="15"/>
      <c r="AP20" s="15"/>
    </row>
    <row r="21" spans="1:45" x14ac:dyDescent="0.3">
      <c r="A21" s="3">
        <v>35</v>
      </c>
      <c r="B21" s="6">
        <v>0.96689999999999998</v>
      </c>
      <c r="F21" s="16">
        <v>35</v>
      </c>
      <c r="G21" s="8">
        <v>0.96689999999999998</v>
      </c>
      <c r="H21" s="33"/>
      <c r="I21" s="15">
        <f>G21*H9</f>
        <v>47721477927.796333</v>
      </c>
      <c r="L21" s="3">
        <v>35</v>
      </c>
      <c r="M21" s="4">
        <v>0.90749000000000002</v>
      </c>
      <c r="N21" s="8"/>
      <c r="P21" s="16">
        <v>35</v>
      </c>
      <c r="Q21" s="8">
        <v>0.97</v>
      </c>
      <c r="R21" s="31"/>
      <c r="S21" s="15">
        <f>Q21*R9</f>
        <v>47874478839.551598</v>
      </c>
      <c r="V21" s="16">
        <v>35</v>
      </c>
      <c r="W21" s="15">
        <f>(49355132824.28*3.29)/100</f>
        <v>1623783869.918812</v>
      </c>
      <c r="X21" s="15">
        <f t="shared" si="0"/>
        <v>47741219980.925995</v>
      </c>
      <c r="AA21" s="3">
        <v>35</v>
      </c>
      <c r="AB21" s="5">
        <f t="shared" si="1"/>
        <v>47741219980.925995</v>
      </c>
      <c r="AH21" s="16">
        <v>35</v>
      </c>
      <c r="AI21" s="15">
        <v>47721477927.796333</v>
      </c>
      <c r="AJ21" s="15">
        <v>47874478839.551598</v>
      </c>
      <c r="AK21" s="15">
        <v>47741219980.925995</v>
      </c>
      <c r="AL21" s="15"/>
      <c r="AM21" s="15"/>
      <c r="AN21" s="15"/>
      <c r="AO21" s="15"/>
      <c r="AP21" s="15"/>
    </row>
    <row r="22" spans="1:45" x14ac:dyDescent="0.3">
      <c r="A22" s="3">
        <v>36</v>
      </c>
      <c r="B22" s="6">
        <v>0.99299999999999999</v>
      </c>
      <c r="F22" s="16">
        <v>36</v>
      </c>
      <c r="G22" s="8">
        <v>0.99299999999999999</v>
      </c>
      <c r="H22" s="33"/>
      <c r="I22" s="15">
        <f>G22*H9</f>
        <v>49009646894.51004</v>
      </c>
      <c r="L22" s="3">
        <v>36</v>
      </c>
      <c r="M22" s="4" t="s">
        <v>12</v>
      </c>
      <c r="N22" s="8"/>
      <c r="P22" s="16">
        <v>36</v>
      </c>
      <c r="Q22" s="8" t="s">
        <v>12</v>
      </c>
      <c r="R22" s="31"/>
      <c r="S22" s="15" t="s">
        <v>14</v>
      </c>
      <c r="V22" s="16">
        <v>36</v>
      </c>
      <c r="W22" s="15" t="s">
        <v>14</v>
      </c>
      <c r="X22" s="15" t="s">
        <v>14</v>
      </c>
      <c r="AA22" s="3">
        <v>36</v>
      </c>
      <c r="AB22" s="3" t="s">
        <v>14</v>
      </c>
      <c r="AH22" s="16">
        <v>36</v>
      </c>
      <c r="AI22" s="15">
        <v>49009646894.51004</v>
      </c>
      <c r="AJ22" s="15" t="s">
        <v>14</v>
      </c>
      <c r="AK22" s="16" t="s">
        <v>14</v>
      </c>
      <c r="AL22" s="16"/>
      <c r="AM22" s="16"/>
      <c r="AN22" s="16"/>
      <c r="AO22" s="16"/>
      <c r="AP22" s="16"/>
    </row>
    <row r="23" spans="1:45" x14ac:dyDescent="0.3">
      <c r="A23" s="3">
        <v>37</v>
      </c>
      <c r="B23" s="6">
        <v>1</v>
      </c>
      <c r="F23" s="27">
        <v>37</v>
      </c>
      <c r="G23" s="28">
        <v>1</v>
      </c>
      <c r="H23" s="34"/>
      <c r="I23" s="29">
        <f>G23*H9</f>
        <v>49355132824.279999</v>
      </c>
      <c r="L23" s="3">
        <v>37</v>
      </c>
      <c r="M23" s="4" t="s">
        <v>12</v>
      </c>
      <c r="N23" s="8"/>
      <c r="P23" s="27">
        <v>37</v>
      </c>
      <c r="Q23" s="39" t="s">
        <v>12</v>
      </c>
      <c r="R23" s="40"/>
      <c r="S23" s="29" t="s">
        <v>14</v>
      </c>
      <c r="V23" s="27">
        <v>37</v>
      </c>
      <c r="W23" s="29" t="s">
        <v>14</v>
      </c>
      <c r="X23" s="29" t="s">
        <v>14</v>
      </c>
      <c r="AA23" s="3">
        <v>37</v>
      </c>
      <c r="AB23" s="3" t="s">
        <v>14</v>
      </c>
      <c r="AH23" s="27">
        <v>37</v>
      </c>
      <c r="AI23" s="29">
        <v>49355132824.279999</v>
      </c>
      <c r="AJ23" s="29" t="s">
        <v>14</v>
      </c>
      <c r="AK23" s="27" t="s">
        <v>14</v>
      </c>
      <c r="AL23" s="16"/>
      <c r="AM23" s="16"/>
      <c r="AN23" s="16"/>
      <c r="AO23" s="16"/>
      <c r="AP23" s="16"/>
    </row>
    <row r="25" spans="1:45" x14ac:dyDescent="0.3">
      <c r="D25" s="1"/>
    </row>
    <row r="26" spans="1:45" ht="15" thickBot="1" x14ac:dyDescent="0.35">
      <c r="D26" s="11"/>
    </row>
    <row r="27" spans="1:45" ht="30" thickTop="1" thickBot="1" x14ac:dyDescent="0.35">
      <c r="AC27" s="25" t="s">
        <v>4</v>
      </c>
      <c r="AD27" s="26" t="s">
        <v>25</v>
      </c>
      <c r="AE27" s="26" t="s">
        <v>26</v>
      </c>
      <c r="AH27" s="25" t="s">
        <v>4</v>
      </c>
      <c r="AI27" s="25" t="s">
        <v>23</v>
      </c>
      <c r="AJ27" s="25" t="s">
        <v>24</v>
      </c>
      <c r="AL27" s="19" t="s">
        <v>27</v>
      </c>
      <c r="AM27" s="2" t="s">
        <v>28</v>
      </c>
      <c r="AN27" s="3" t="s">
        <v>29</v>
      </c>
      <c r="AO27" s="3" t="s">
        <v>30</v>
      </c>
    </row>
    <row r="28" spans="1:45" x14ac:dyDescent="0.3">
      <c r="AC28" s="16">
        <v>23</v>
      </c>
      <c r="AD28" s="24">
        <f t="shared" ref="AD28:AD40" si="2">AJ9/AK9</f>
        <v>1.0087719298245637</v>
      </c>
      <c r="AE28" s="24">
        <f t="shared" ref="AE28:AE40" si="3">AJ9/AI9</f>
        <v>1.0094360324775071</v>
      </c>
      <c r="AH28" s="16">
        <v>23</v>
      </c>
      <c r="AI28" s="15">
        <f>AJ9-AK9</f>
        <v>197420531.29717255</v>
      </c>
      <c r="AJ28" s="15">
        <f>AJ9-AI9</f>
        <v>212227071.14440155</v>
      </c>
      <c r="AL28" s="5">
        <f>(R9-AJ21)/AD40</f>
        <v>1476532576.7296712</v>
      </c>
      <c r="AM28" s="5">
        <f>AK21+AL28</f>
        <v>49217752557.655663</v>
      </c>
      <c r="AN28" s="14">
        <f>(37-35)/AE40</f>
        <v>1.9936082474226806</v>
      </c>
      <c r="AO28" s="14">
        <f>35+AN28</f>
        <v>36.993608247422678</v>
      </c>
    </row>
    <row r="29" spans="1:45" x14ac:dyDescent="0.3">
      <c r="AC29" s="16">
        <v>24</v>
      </c>
      <c r="AD29" s="24">
        <f t="shared" si="2"/>
        <v>1.0064412238325302</v>
      </c>
      <c r="AE29" s="24">
        <f t="shared" si="3"/>
        <v>1.0070493454179255</v>
      </c>
      <c r="AH29" s="16">
        <v>24</v>
      </c>
      <c r="AI29" s="15">
        <f t="shared" ref="AI29:AI40" si="4">AJ10-AK10</f>
        <v>157936425.03774643</v>
      </c>
      <c r="AJ29" s="15">
        <f t="shared" ref="AJ29:AJ40" si="5">AJ10-AI10</f>
        <v>172742964.88497925</v>
      </c>
    </row>
    <row r="30" spans="1:45" x14ac:dyDescent="0.3">
      <c r="AC30" s="16">
        <v>25</v>
      </c>
      <c r="AD30" s="24">
        <f t="shared" si="2"/>
        <v>0.99962976675305637</v>
      </c>
      <c r="AE30" s="24">
        <f t="shared" si="3"/>
        <v>1.0001852194850898</v>
      </c>
      <c r="AH30" s="16">
        <v>25</v>
      </c>
      <c r="AI30" s="15">
        <f t="shared" si="4"/>
        <v>-9871026.5648040771</v>
      </c>
      <c r="AJ30" s="15">
        <f t="shared" si="5"/>
        <v>4935513.2824287415</v>
      </c>
    </row>
    <row r="31" spans="1:45" x14ac:dyDescent="0.3">
      <c r="AC31" s="16">
        <v>26</v>
      </c>
      <c r="AD31" s="24">
        <f t="shared" si="2"/>
        <v>0.99383139136394949</v>
      </c>
      <c r="AE31" s="24">
        <f t="shared" si="3"/>
        <v>0.99434253385907745</v>
      </c>
      <c r="AH31" s="16">
        <v>26</v>
      </c>
      <c r="AI31" s="15">
        <f t="shared" si="4"/>
        <v>-177678478.16736221</v>
      </c>
      <c r="AJ31" s="15">
        <f t="shared" si="5"/>
        <v>-162871938.32012939</v>
      </c>
      <c r="AS31" s="11">
        <v>942020202.92999995</v>
      </c>
    </row>
    <row r="32" spans="1:45" x14ac:dyDescent="0.3">
      <c r="X32" s="5">
        <f>(49355132824.28*0.06)/100</f>
        <v>29613079.694568001</v>
      </c>
      <c r="Y32">
        <v>3</v>
      </c>
      <c r="AC32" s="16">
        <v>27</v>
      </c>
      <c r="AD32" s="24">
        <f t="shared" si="2"/>
        <v>1.0248198558847095</v>
      </c>
      <c r="AE32" s="24">
        <f t="shared" si="3"/>
        <v>0.99657427592650272</v>
      </c>
      <c r="AH32" s="16">
        <v>27</v>
      </c>
      <c r="AI32" s="15">
        <f t="shared" si="4"/>
        <v>765004558.77639008</v>
      </c>
      <c r="AJ32" s="15">
        <f t="shared" si="5"/>
        <v>-108581292.21341324</v>
      </c>
      <c r="AL32" s="32" t="s">
        <v>31</v>
      </c>
      <c r="AN32" s="32" t="s">
        <v>32</v>
      </c>
      <c r="AS32" s="11">
        <v>133462799.87</v>
      </c>
    </row>
    <row r="33" spans="24:45" x14ac:dyDescent="0.3">
      <c r="X33" s="5">
        <f>(49355132824.28*0.06)/100</f>
        <v>29613079.694568001</v>
      </c>
      <c r="Y33">
        <v>4</v>
      </c>
      <c r="AC33" s="16">
        <v>28</v>
      </c>
      <c r="AD33" s="24">
        <f t="shared" si="2"/>
        <v>0.99292914096585072</v>
      </c>
      <c r="AE33" s="24">
        <f t="shared" si="3"/>
        <v>0.99337748344370869</v>
      </c>
      <c r="AH33" s="16">
        <v>28</v>
      </c>
      <c r="AI33" s="15">
        <f t="shared" si="4"/>
        <v>-231969124.27406693</v>
      </c>
      <c r="AJ33" s="15">
        <f t="shared" si="5"/>
        <v>-217162584.42683029</v>
      </c>
      <c r="AL33" s="32"/>
      <c r="AN33" s="32"/>
      <c r="AS33" s="11">
        <v>2376987894.6399999</v>
      </c>
    </row>
    <row r="34" spans="24:45" x14ac:dyDescent="0.3">
      <c r="X34" s="5">
        <f>(49355132824.28*0.13)/100</f>
        <v>64161672.671563998</v>
      </c>
      <c r="Y34">
        <v>5</v>
      </c>
      <c r="AC34" s="16">
        <v>29</v>
      </c>
      <c r="AD34" s="24">
        <f t="shared" si="2"/>
        <v>0.99286813033142363</v>
      </c>
      <c r="AE34" s="24">
        <f t="shared" si="3"/>
        <v>0.99328483491885844</v>
      </c>
      <c r="AH34" s="16">
        <v>29</v>
      </c>
      <c r="AI34" s="15">
        <f t="shared" si="4"/>
        <v>-251711177.40377808</v>
      </c>
      <c r="AJ34" s="15">
        <f t="shared" si="5"/>
        <v>-236904637.55654144</v>
      </c>
      <c r="AL34" s="5">
        <f>H9-AM28</f>
        <v>137380266.62433624</v>
      </c>
      <c r="AN34" s="14">
        <f>37-AO28</f>
        <v>6.3917525773220518E-3</v>
      </c>
      <c r="AS34" s="11">
        <v>720290339.50999999</v>
      </c>
    </row>
    <row r="35" spans="24:45" x14ac:dyDescent="0.3">
      <c r="X35" s="5">
        <f>(49355132824.28*1.03)/100</f>
        <v>508357868.09008402</v>
      </c>
      <c r="Y35">
        <v>6</v>
      </c>
      <c r="AC35" s="16">
        <v>30</v>
      </c>
      <c r="AD35" s="24">
        <f t="shared" si="2"/>
        <v>0.99437393693575948</v>
      </c>
      <c r="AE35" s="24">
        <f t="shared" si="3"/>
        <v>0.99489461971462223</v>
      </c>
      <c r="AH35" s="16">
        <v>30</v>
      </c>
      <c r="AI35" s="15">
        <f>AJ16-AK16</f>
        <v>-212227071.14435577</v>
      </c>
      <c r="AJ35" s="15">
        <f t="shared" si="5"/>
        <v>-192485018.01469421</v>
      </c>
      <c r="AS35" s="11">
        <v>1201037725.53</v>
      </c>
    </row>
    <row r="36" spans="24:45" x14ac:dyDescent="0.3">
      <c r="X36" s="5">
        <f>(49355132824.28*1.03)/100</f>
        <v>508357868.09008402</v>
      </c>
      <c r="Y36">
        <v>7</v>
      </c>
      <c r="AC36" s="16">
        <v>31</v>
      </c>
      <c r="AD36" s="24">
        <f t="shared" si="2"/>
        <v>0.99938309685379534</v>
      </c>
      <c r="AE36" s="24">
        <f t="shared" si="3"/>
        <v>0.99987655844957424</v>
      </c>
      <c r="AH36" s="16">
        <v>31</v>
      </c>
      <c r="AI36" s="15">
        <f t="shared" si="4"/>
        <v>-24677566.412086487</v>
      </c>
      <c r="AJ36" s="15">
        <f t="shared" si="5"/>
        <v>-4935513.2824249268</v>
      </c>
      <c r="AS36" s="11">
        <v>1175987879.48</v>
      </c>
    </row>
    <row r="37" spans="24:45" x14ac:dyDescent="0.3">
      <c r="X37" s="5">
        <f>(49355132824.28*1.03)/100</f>
        <v>508357868.09008402</v>
      </c>
      <c r="Y37">
        <v>8</v>
      </c>
      <c r="AC37" s="16">
        <v>32</v>
      </c>
      <c r="AD37" s="24">
        <f t="shared" si="2"/>
        <v>1.0050251256281419</v>
      </c>
      <c r="AE37" s="24">
        <f t="shared" si="3"/>
        <v>1.005495147901321</v>
      </c>
      <c r="AH37" s="16">
        <v>32</v>
      </c>
      <c r="AI37" s="15">
        <f t="shared" si="4"/>
        <v>212227071.14445496</v>
      </c>
      <c r="AJ37" s="15">
        <f t="shared" si="5"/>
        <v>231969124.27410889</v>
      </c>
      <c r="AS37" s="11">
        <v>1190795160.54</v>
      </c>
    </row>
    <row r="38" spans="24:45" x14ac:dyDescent="0.3">
      <c r="X38" s="5">
        <f>(49355132824.28*1.03)/100</f>
        <v>508357868.09008402</v>
      </c>
      <c r="Y38">
        <v>9</v>
      </c>
      <c r="AC38" s="16">
        <v>33</v>
      </c>
      <c r="AD38" s="24">
        <f t="shared" si="2"/>
        <v>1.0041280821153642</v>
      </c>
      <c r="AE38" s="24">
        <f t="shared" si="3"/>
        <v>1.004576403616475</v>
      </c>
      <c r="AH38" s="16">
        <v>33</v>
      </c>
      <c r="AI38" s="15">
        <f t="shared" si="4"/>
        <v>182613991.44988251</v>
      </c>
      <c r="AJ38" s="15">
        <f t="shared" si="5"/>
        <v>202356044.57954407</v>
      </c>
      <c r="AS38" s="11">
        <v>1190795160.54</v>
      </c>
    </row>
    <row r="39" spans="24:45" x14ac:dyDescent="0.3">
      <c r="X39" s="5">
        <f>(49355132824.28*1.37)/100</f>
        <v>676165319.69263601</v>
      </c>
      <c r="Y39">
        <v>10</v>
      </c>
      <c r="AC39" s="16">
        <v>34</v>
      </c>
      <c r="AD39" s="24">
        <f t="shared" si="2"/>
        <v>0.99529109589041209</v>
      </c>
      <c r="AE39" s="24">
        <f t="shared" si="3"/>
        <v>0.99571734475374729</v>
      </c>
      <c r="AH39" s="16">
        <v>34</v>
      </c>
      <c r="AI39" s="15">
        <f t="shared" si="4"/>
        <v>-217162584.4267807</v>
      </c>
      <c r="AJ39" s="15">
        <f t="shared" si="5"/>
        <v>-197420531.29711914</v>
      </c>
      <c r="AS39" s="11">
        <v>1190795160.54</v>
      </c>
    </row>
    <row r="40" spans="24:45" x14ac:dyDescent="0.3">
      <c r="X40" s="5">
        <f>(49355132824.28*1.97)/100</f>
        <v>972296116.63831592</v>
      </c>
      <c r="Y40">
        <v>11</v>
      </c>
      <c r="AC40" s="16">
        <v>35</v>
      </c>
      <c r="AD40" s="24">
        <f t="shared" si="2"/>
        <v>1.0027912746821057</v>
      </c>
      <c r="AE40" s="24">
        <f t="shared" si="3"/>
        <v>1.0032061226600475</v>
      </c>
      <c r="AH40" s="16">
        <v>35</v>
      </c>
      <c r="AI40" s="15">
        <f t="shared" si="4"/>
        <v>133258858.62560272</v>
      </c>
      <c r="AJ40" s="15">
        <f t="shared" si="5"/>
        <v>153000911.75526428</v>
      </c>
      <c r="AS40" s="11">
        <v>1190795160.54</v>
      </c>
    </row>
    <row r="41" spans="24:45" x14ac:dyDescent="0.3">
      <c r="X41" s="5">
        <f>(49355132824.28*1.68)/100</f>
        <v>829166231.44790387</v>
      </c>
      <c r="Y41">
        <v>12</v>
      </c>
      <c r="AC41" s="16">
        <v>36</v>
      </c>
      <c r="AD41" s="16" t="s">
        <v>14</v>
      </c>
      <c r="AE41" s="16" t="s">
        <v>14</v>
      </c>
      <c r="AH41" s="16">
        <v>36</v>
      </c>
      <c r="AI41" s="16" t="s">
        <v>14</v>
      </c>
      <c r="AJ41" s="16" t="s">
        <v>14</v>
      </c>
      <c r="AS41" s="11">
        <v>1190795160.54</v>
      </c>
    </row>
    <row r="42" spans="24:45" ht="15" thickBot="1" x14ac:dyDescent="0.35">
      <c r="X42" s="5">
        <f>(49355132824.28*1.81)/100</f>
        <v>893327904.11946809</v>
      </c>
      <c r="Y42">
        <v>13</v>
      </c>
      <c r="AC42" s="23">
        <v>37</v>
      </c>
      <c r="AD42" s="23" t="s">
        <v>14</v>
      </c>
      <c r="AE42" s="23" t="s">
        <v>14</v>
      </c>
      <c r="AH42" s="23">
        <v>37</v>
      </c>
      <c r="AI42" s="23" t="s">
        <v>14</v>
      </c>
      <c r="AJ42" s="23" t="s">
        <v>14</v>
      </c>
      <c r="AS42" s="11">
        <v>1156546210.8900001</v>
      </c>
    </row>
    <row r="43" spans="24:45" ht="15" thickTop="1" x14ac:dyDescent="0.3">
      <c r="X43" s="5">
        <f>(49355132824.28*2.49)/100</f>
        <v>1228942807.3245721</v>
      </c>
      <c r="Y43">
        <v>14</v>
      </c>
      <c r="AS43" s="11">
        <v>64817463.520000003</v>
      </c>
    </row>
    <row r="44" spans="24:45" x14ac:dyDescent="0.3">
      <c r="X44" s="5">
        <f>(49355132824.28*2.69)/100</f>
        <v>1327653072.9731319</v>
      </c>
      <c r="Y44">
        <v>15</v>
      </c>
      <c r="AS44" s="11">
        <v>34046599.109999999</v>
      </c>
    </row>
    <row r="45" spans="24:45" x14ac:dyDescent="0.3">
      <c r="X45" s="5">
        <f>(49355132824.28*2.72)/100</f>
        <v>1342459612.8204162</v>
      </c>
      <c r="Y45">
        <v>16</v>
      </c>
      <c r="AS45" s="11">
        <v>35046599.109999999</v>
      </c>
    </row>
    <row r="46" spans="24:45" x14ac:dyDescent="0.3">
      <c r="X46" s="5">
        <f>(49355132824.28*3.34)/100</f>
        <v>1648461436.3309519</v>
      </c>
      <c r="Y46">
        <v>17</v>
      </c>
      <c r="AS46" s="11">
        <v>35046599.109999999</v>
      </c>
    </row>
    <row r="47" spans="24:45" x14ac:dyDescent="0.3">
      <c r="X47" s="5">
        <f>(49355132824.28*3.55)/100</f>
        <v>1752107215.26194</v>
      </c>
      <c r="Y47">
        <v>18</v>
      </c>
      <c r="AS47" s="11">
        <v>35046599.109999999</v>
      </c>
    </row>
    <row r="48" spans="24:45" x14ac:dyDescent="0.3">
      <c r="X48" s="5">
        <f>(49355132824.28*4.04)/100</f>
        <v>1993947366.1009119</v>
      </c>
      <c r="Y48">
        <v>19</v>
      </c>
      <c r="AS48" s="11">
        <v>35046599.109999999</v>
      </c>
    </row>
    <row r="49" spans="24:45" x14ac:dyDescent="0.3">
      <c r="X49" s="5">
        <f>(49355132824.28*3.63)/100</f>
        <v>1791591321.5213637</v>
      </c>
      <c r="Y49">
        <v>20</v>
      </c>
      <c r="AS49" s="11">
        <v>35046599.109999999</v>
      </c>
    </row>
    <row r="50" spans="24:45" x14ac:dyDescent="0.3">
      <c r="X50" s="5">
        <f>(49355132824.28*3.84)/100</f>
        <v>1895237100.452352</v>
      </c>
      <c r="Y50">
        <v>21</v>
      </c>
      <c r="AS50" s="11">
        <v>35046599.109999999</v>
      </c>
    </row>
    <row r="51" spans="24:45" x14ac:dyDescent="0.3">
      <c r="X51" s="5">
        <f>(49355132824.28*4.09)/100</f>
        <v>2018624932.5130517</v>
      </c>
      <c r="Y51">
        <v>22</v>
      </c>
      <c r="AS51" s="11">
        <v>163755335.84999999</v>
      </c>
    </row>
    <row r="52" spans="24:45" x14ac:dyDescent="0.3">
      <c r="X52" s="13">
        <f>SUM(X32:X51)</f>
        <v>20526799741.61805</v>
      </c>
      <c r="AS52" s="11">
        <v>213690617.87</v>
      </c>
    </row>
    <row r="53" spans="24:45" x14ac:dyDescent="0.3">
      <c r="AS53" s="11">
        <v>197157846.81</v>
      </c>
    </row>
    <row r="54" spans="24:45" x14ac:dyDescent="0.3">
      <c r="AS54" s="11">
        <v>80248140.230000004</v>
      </c>
    </row>
    <row r="55" spans="24:45" x14ac:dyDescent="0.3">
      <c r="AS55" s="11">
        <v>55834726.490000002</v>
      </c>
    </row>
    <row r="56" spans="24:45" x14ac:dyDescent="0.3">
      <c r="AS56" s="11">
        <v>30972747.800000001</v>
      </c>
    </row>
    <row r="57" spans="24:45" x14ac:dyDescent="0.3">
      <c r="AS57" s="11">
        <v>218389782.11000001</v>
      </c>
    </row>
    <row r="58" spans="24:45" x14ac:dyDescent="0.3">
      <c r="AS58" s="11">
        <v>171298235.75999999</v>
      </c>
    </row>
    <row r="59" spans="24:45" x14ac:dyDescent="0.3">
      <c r="AS59" s="11">
        <v>151942966.75</v>
      </c>
    </row>
    <row r="60" spans="24:45" x14ac:dyDescent="0.3">
      <c r="AS60" s="11">
        <v>656986343.17999995</v>
      </c>
    </row>
    <row r="61" spans="24:45" x14ac:dyDescent="0.3">
      <c r="AS61" s="11">
        <v>31807295.420000002</v>
      </c>
    </row>
    <row r="62" spans="24:45" x14ac:dyDescent="0.3">
      <c r="AS62" s="11">
        <v>30972747.800000001</v>
      </c>
    </row>
    <row r="63" spans="24:45" x14ac:dyDescent="0.3">
      <c r="AS63" s="11">
        <v>271499569.74000001</v>
      </c>
    </row>
    <row r="64" spans="24:45" x14ac:dyDescent="0.3">
      <c r="AS64" s="11">
        <v>182272977.5</v>
      </c>
    </row>
    <row r="65" spans="45:45" x14ac:dyDescent="0.3">
      <c r="AS65" s="11">
        <v>162711320.31999999</v>
      </c>
    </row>
    <row r="66" spans="45:45" x14ac:dyDescent="0.3">
      <c r="AS66" s="11">
        <v>1831185509.52</v>
      </c>
    </row>
    <row r="67" spans="45:45" x14ac:dyDescent="0.3">
      <c r="AS67" s="11">
        <v>27391038.620000001</v>
      </c>
    </row>
    <row r="68" spans="45:45" x14ac:dyDescent="0.3">
      <c r="AS68" s="11">
        <v>33149022.800000001</v>
      </c>
    </row>
    <row r="69" spans="45:45" x14ac:dyDescent="0.3">
      <c r="AS69" s="11">
        <v>244626216.91</v>
      </c>
    </row>
    <row r="70" spans="45:45" x14ac:dyDescent="0.3">
      <c r="AS70" s="11">
        <v>148359207.72</v>
      </c>
    </row>
    <row r="71" spans="45:45" x14ac:dyDescent="0.3">
      <c r="AS71" s="11">
        <v>225007713.81</v>
      </c>
    </row>
    <row r="72" spans="45:45" x14ac:dyDescent="0.3">
      <c r="AS72" s="11">
        <v>68743441.519999996</v>
      </c>
    </row>
    <row r="73" spans="45:45" x14ac:dyDescent="0.3">
      <c r="AS73" s="11">
        <v>43688730.240000002</v>
      </c>
    </row>
    <row r="74" spans="45:45" x14ac:dyDescent="0.3">
      <c r="AS74" s="11">
        <v>34614677.960000001</v>
      </c>
    </row>
    <row r="75" spans="45:45" x14ac:dyDescent="0.3">
      <c r="AS75" s="11">
        <v>244626216.91</v>
      </c>
    </row>
    <row r="76" spans="45:45" x14ac:dyDescent="0.3">
      <c r="AS76" s="11">
        <v>148359207.72</v>
      </c>
    </row>
    <row r="77" spans="45:45" x14ac:dyDescent="0.3">
      <c r="AS77" s="11">
        <v>255007713.81</v>
      </c>
    </row>
    <row r="78" spans="45:45" x14ac:dyDescent="0.3">
      <c r="AS78" s="11">
        <v>68743441.519999996</v>
      </c>
    </row>
    <row r="79" spans="45:45" x14ac:dyDescent="0.3">
      <c r="AS79" s="11">
        <v>4368730.24</v>
      </c>
    </row>
    <row r="80" spans="45:45" x14ac:dyDescent="0.3">
      <c r="AS80" s="11">
        <v>33924622.600000001</v>
      </c>
    </row>
    <row r="81" spans="45:45" x14ac:dyDescent="0.3">
      <c r="AS81" s="11">
        <v>244626216.91</v>
      </c>
    </row>
    <row r="82" spans="45:45" x14ac:dyDescent="0.3">
      <c r="AS82" s="11">
        <v>148359207.72</v>
      </c>
    </row>
    <row r="83" spans="45:45" x14ac:dyDescent="0.3">
      <c r="AS83" s="11">
        <v>255007713.81</v>
      </c>
    </row>
    <row r="84" spans="45:45" x14ac:dyDescent="0.3">
      <c r="AS84" s="11">
        <v>68713441.519999996</v>
      </c>
    </row>
    <row r="85" spans="45:45" x14ac:dyDescent="0.3">
      <c r="AS85" s="11">
        <v>43688730.240000002</v>
      </c>
    </row>
    <row r="86" spans="45:45" x14ac:dyDescent="0.3">
      <c r="AS86" s="11">
        <v>33924622.600000001</v>
      </c>
    </row>
    <row r="87" spans="45:45" x14ac:dyDescent="0.3">
      <c r="AS87" s="11">
        <v>244626216.91</v>
      </c>
    </row>
    <row r="88" spans="45:45" x14ac:dyDescent="0.3">
      <c r="AS88" s="11">
        <v>148359207.72</v>
      </c>
    </row>
    <row r="89" spans="45:45" x14ac:dyDescent="0.3">
      <c r="AS89" s="11">
        <v>255007713.81</v>
      </c>
    </row>
    <row r="90" spans="45:45" x14ac:dyDescent="0.3">
      <c r="AS90" s="11">
        <v>68743441.519999996</v>
      </c>
    </row>
    <row r="91" spans="45:45" x14ac:dyDescent="0.3">
      <c r="AS91" s="11">
        <v>43668730.240000002</v>
      </c>
    </row>
    <row r="92" spans="45:45" x14ac:dyDescent="0.3">
      <c r="AS92" s="11">
        <v>33924622.600000001</v>
      </c>
    </row>
    <row r="93" spans="45:45" x14ac:dyDescent="0.3">
      <c r="AS93" s="11">
        <v>244626216.91</v>
      </c>
    </row>
    <row r="94" spans="45:45" x14ac:dyDescent="0.3">
      <c r="AS94" s="11">
        <v>148359207.72</v>
      </c>
    </row>
    <row r="95" spans="45:45" x14ac:dyDescent="0.3">
      <c r="AS95" s="11">
        <v>255007713.81</v>
      </c>
    </row>
    <row r="96" spans="45:45" x14ac:dyDescent="0.3">
      <c r="AS96" s="11">
        <v>68743441.519999996</v>
      </c>
    </row>
    <row r="97" spans="45:45" x14ac:dyDescent="0.3">
      <c r="AS97" s="11">
        <v>43668730.240000002</v>
      </c>
    </row>
    <row r="98" spans="45:45" x14ac:dyDescent="0.3">
      <c r="AS98" s="11">
        <v>34614677.960000001</v>
      </c>
    </row>
    <row r="99" spans="45:45" x14ac:dyDescent="0.3">
      <c r="AS99" s="11">
        <v>119358750.09</v>
      </c>
    </row>
    <row r="100" spans="45:45" x14ac:dyDescent="0.3">
      <c r="AS100" s="11">
        <v>25657225.690000001</v>
      </c>
    </row>
    <row r="101" spans="45:45" x14ac:dyDescent="0.3">
      <c r="AS101" s="11">
        <v>4771816.83</v>
      </c>
    </row>
    <row r="102" spans="45:45" x14ac:dyDescent="0.3">
      <c r="AS102" s="11">
        <v>5830380.1600000001</v>
      </c>
    </row>
    <row r="103" spans="45:45" x14ac:dyDescent="0.3">
      <c r="AS103" s="11">
        <v>220614597.22999999</v>
      </c>
    </row>
    <row r="104" spans="45:45" x14ac:dyDescent="0.3">
      <c r="AS104" s="11">
        <v>257300894.93000001</v>
      </c>
    </row>
    <row r="105" spans="45:45" x14ac:dyDescent="0.3">
      <c r="AS105" s="11">
        <v>424391459.89999998</v>
      </c>
    </row>
    <row r="106" spans="45:45" x14ac:dyDescent="0.3">
      <c r="AS106" s="11">
        <v>2055224149.3599999</v>
      </c>
    </row>
    <row r="107" spans="45:45" x14ac:dyDescent="0.3">
      <c r="AS107" s="11">
        <v>2757994640.8800001</v>
      </c>
    </row>
    <row r="108" spans="45:45" x14ac:dyDescent="0.3">
      <c r="AS108" s="11">
        <v>92313871.200000003</v>
      </c>
    </row>
    <row r="109" spans="45:45" x14ac:dyDescent="0.3">
      <c r="AS109" s="11">
        <v>337669326.5</v>
      </c>
    </row>
    <row r="110" spans="45:45" x14ac:dyDescent="0.3">
      <c r="AS110" s="11">
        <v>53121075.729999997</v>
      </c>
    </row>
    <row r="111" spans="45:45" x14ac:dyDescent="0.3">
      <c r="AS111" s="11">
        <v>248686465.83000001</v>
      </c>
    </row>
    <row r="112" spans="45:45" x14ac:dyDescent="0.3">
      <c r="AS112" s="11">
        <v>410308319.31999999</v>
      </c>
    </row>
    <row r="113" spans="45:45" x14ac:dyDescent="0.3">
      <c r="AS113" s="11">
        <v>102148655.19</v>
      </c>
    </row>
    <row r="114" spans="45:45" x14ac:dyDescent="0.3">
      <c r="AS114" s="11">
        <v>127997504.05</v>
      </c>
    </row>
    <row r="115" spans="45:45" x14ac:dyDescent="0.3">
      <c r="AS115" s="11">
        <v>78127644.670000002</v>
      </c>
    </row>
    <row r="116" spans="45:45" x14ac:dyDescent="0.3">
      <c r="AS116" s="11">
        <v>12977853.65</v>
      </c>
    </row>
    <row r="117" spans="45:45" x14ac:dyDescent="0.3">
      <c r="AS117" s="11">
        <v>28109682.289999999</v>
      </c>
    </row>
    <row r="118" spans="45:45" x14ac:dyDescent="0.3">
      <c r="AS118" s="11">
        <v>332813074.31</v>
      </c>
    </row>
    <row r="119" spans="45:45" x14ac:dyDescent="0.3">
      <c r="AS119" s="11">
        <v>284682304.49000001</v>
      </c>
    </row>
    <row r="120" spans="45:45" x14ac:dyDescent="0.3">
      <c r="AS120" s="11">
        <v>358517004.48000002</v>
      </c>
    </row>
    <row r="121" spans="45:45" x14ac:dyDescent="0.3">
      <c r="AS121" s="11">
        <v>39201014.009999998</v>
      </c>
    </row>
    <row r="122" spans="45:45" x14ac:dyDescent="0.3">
      <c r="AS122" s="11">
        <v>4607863.2</v>
      </c>
    </row>
    <row r="123" spans="45:45" x14ac:dyDescent="0.3">
      <c r="AS123" s="11">
        <v>51199122.240000002</v>
      </c>
    </row>
    <row r="124" spans="45:45" x14ac:dyDescent="0.3">
      <c r="AS124" s="11">
        <v>413504876.16000003</v>
      </c>
    </row>
    <row r="125" spans="45:45" x14ac:dyDescent="0.3">
      <c r="AS125" s="11">
        <v>410308319.31999999</v>
      </c>
    </row>
    <row r="126" spans="45:45" x14ac:dyDescent="0.3">
      <c r="AS126" s="11">
        <v>89977417.780000001</v>
      </c>
    </row>
    <row r="127" spans="45:45" x14ac:dyDescent="0.3">
      <c r="AS127" s="11">
        <v>1377791952.25</v>
      </c>
    </row>
    <row r="128" spans="45:45" x14ac:dyDescent="0.3">
      <c r="AS128" s="11">
        <v>6018894634.5</v>
      </c>
    </row>
    <row r="129" spans="45:45" x14ac:dyDescent="0.3">
      <c r="AS129" s="11">
        <v>596675556.10000002</v>
      </c>
    </row>
    <row r="130" spans="45:45" x14ac:dyDescent="0.3">
      <c r="AS130" s="11">
        <v>1633365912.0999999</v>
      </c>
    </row>
    <row r="131" spans="45:45" x14ac:dyDescent="0.3">
      <c r="AS131" s="11">
        <v>249745198.94999999</v>
      </c>
    </row>
    <row r="132" spans="45:45" x14ac:dyDescent="0.3">
      <c r="AS132" s="11">
        <v>162935111.94999999</v>
      </c>
    </row>
    <row r="133" spans="45:45" x14ac:dyDescent="0.3">
      <c r="AS133" s="11">
        <v>4494403940.96</v>
      </c>
    </row>
    <row r="134" spans="45:45" x14ac:dyDescent="0.3">
      <c r="AS134" s="11">
        <v>2484249279</v>
      </c>
    </row>
    <row r="135" spans="45:45" x14ac:dyDescent="0.3">
      <c r="AS135" s="11">
        <v>473834431.19999999</v>
      </c>
    </row>
    <row r="136" spans="45:45" x14ac:dyDescent="0.3">
      <c r="AS136" s="11">
        <v>731988685.35000002</v>
      </c>
    </row>
    <row r="137" spans="45:45" x14ac:dyDescent="0.3">
      <c r="AS137" s="11">
        <v>1594937700</v>
      </c>
    </row>
    <row r="138" spans="45:45" x14ac:dyDescent="0.3">
      <c r="AS138" s="11">
        <v>123231600</v>
      </c>
    </row>
    <row r="139" spans="45:45" x14ac:dyDescent="0.3">
      <c r="AS139" s="17">
        <f>SUM(AS31:AS138)</f>
        <v>51673927823.980011</v>
      </c>
    </row>
  </sheetData>
  <mergeCells count="4">
    <mergeCell ref="R9:R23"/>
    <mergeCell ref="AL32:AL33"/>
    <mergeCell ref="AN32:AN33"/>
    <mergeCell ref="H9:H23"/>
  </mergeCells>
  <pageMargins left="0.7" right="0.7" top="0.75" bottom="0.75" header="0.3" footer="0.3"/>
  <pageSetup orientation="portrait" r:id="rId1"/>
  <ignoredErrors>
    <ignoredError sqref="H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B3192-57F2-4BE7-8A24-0DA98B03BC65}">
  <dimension ref="B3:E24"/>
  <sheetViews>
    <sheetView workbookViewId="0">
      <selection activeCell="F19" sqref="F19"/>
    </sheetView>
  </sheetViews>
  <sheetFormatPr defaultRowHeight="14.4" x14ac:dyDescent="0.3"/>
  <cols>
    <col min="2" max="2" width="3.44140625" bestFit="1" customWidth="1"/>
    <col min="3" max="3" width="3.77734375" bestFit="1" customWidth="1"/>
    <col min="4" max="4" width="3.6640625" bestFit="1" customWidth="1"/>
    <col min="5" max="5" width="31.5546875" customWidth="1"/>
  </cols>
  <sheetData>
    <row r="3" spans="2:5" x14ac:dyDescent="0.3">
      <c r="B3" s="21" t="s">
        <v>33</v>
      </c>
      <c r="C3" s="21" t="s">
        <v>34</v>
      </c>
      <c r="D3" s="21" t="s">
        <v>35</v>
      </c>
      <c r="E3" s="21" t="s">
        <v>36</v>
      </c>
    </row>
    <row r="4" spans="2:5" ht="28.8" x14ac:dyDescent="0.3">
      <c r="B4" s="3">
        <v>1</v>
      </c>
      <c r="C4" s="3" t="s">
        <v>37</v>
      </c>
      <c r="D4" s="3" t="s">
        <v>37</v>
      </c>
      <c r="E4" s="22" t="s">
        <v>49</v>
      </c>
    </row>
    <row r="5" spans="2:5" ht="28.8" x14ac:dyDescent="0.3">
      <c r="B5" s="3">
        <v>2</v>
      </c>
      <c r="C5" s="3" t="s">
        <v>14</v>
      </c>
      <c r="D5" s="3" t="s">
        <v>37</v>
      </c>
      <c r="E5" s="22" t="s">
        <v>50</v>
      </c>
    </row>
    <row r="6" spans="2:5" ht="28.8" x14ac:dyDescent="0.3">
      <c r="B6" s="3">
        <v>3</v>
      </c>
      <c r="C6" s="3">
        <v>0</v>
      </c>
      <c r="D6" s="3" t="s">
        <v>37</v>
      </c>
      <c r="E6" s="22" t="s">
        <v>51</v>
      </c>
    </row>
    <row r="7" spans="2:5" ht="28.8" x14ac:dyDescent="0.3">
      <c r="B7" s="3">
        <v>4</v>
      </c>
      <c r="C7" s="3" t="s">
        <v>37</v>
      </c>
      <c r="D7" s="3" t="s">
        <v>14</v>
      </c>
      <c r="E7" s="22" t="s">
        <v>52</v>
      </c>
    </row>
    <row r="8" spans="2:5" ht="28.8" x14ac:dyDescent="0.3">
      <c r="B8" s="3">
        <v>5</v>
      </c>
      <c r="C8" s="3" t="s">
        <v>14</v>
      </c>
      <c r="D8" s="3" t="s">
        <v>14</v>
      </c>
      <c r="E8" s="22" t="s">
        <v>53</v>
      </c>
    </row>
    <row r="9" spans="2:5" ht="28.8" x14ac:dyDescent="0.3">
      <c r="B9" s="3">
        <v>6</v>
      </c>
      <c r="C9" s="3">
        <v>0</v>
      </c>
      <c r="D9" s="3" t="s">
        <v>14</v>
      </c>
      <c r="E9" s="22" t="s">
        <v>54</v>
      </c>
    </row>
    <row r="10" spans="2:5" ht="28.8" x14ac:dyDescent="0.3">
      <c r="B10" s="3">
        <v>7</v>
      </c>
      <c r="C10" s="3" t="s">
        <v>37</v>
      </c>
      <c r="D10" s="3">
        <v>0</v>
      </c>
      <c r="E10" s="22" t="s">
        <v>52</v>
      </c>
    </row>
    <row r="11" spans="2:5" ht="28.8" x14ac:dyDescent="0.3">
      <c r="B11" s="3">
        <v>8</v>
      </c>
      <c r="C11" s="3" t="s">
        <v>14</v>
      </c>
      <c r="D11" s="3">
        <v>0</v>
      </c>
      <c r="E11" s="22" t="s">
        <v>55</v>
      </c>
    </row>
    <row r="12" spans="2:5" ht="28.8" x14ac:dyDescent="0.3">
      <c r="B12" s="3">
        <v>9</v>
      </c>
      <c r="C12" s="3">
        <v>0</v>
      </c>
      <c r="D12" s="3">
        <v>0</v>
      </c>
      <c r="E12" s="22" t="s">
        <v>56</v>
      </c>
    </row>
    <row r="15" spans="2:5" x14ac:dyDescent="0.3">
      <c r="B15" s="21" t="s">
        <v>33</v>
      </c>
      <c r="C15" s="21" t="s">
        <v>25</v>
      </c>
      <c r="D15" s="21" t="s">
        <v>26</v>
      </c>
      <c r="E15" s="21" t="s">
        <v>36</v>
      </c>
    </row>
    <row r="16" spans="2:5" ht="28.8" x14ac:dyDescent="0.3">
      <c r="B16" s="20">
        <v>1</v>
      </c>
      <c r="C16" s="20" t="s">
        <v>38</v>
      </c>
      <c r="D16" s="20" t="s">
        <v>38</v>
      </c>
      <c r="E16" s="20" t="s">
        <v>39</v>
      </c>
    </row>
    <row r="17" spans="2:5" ht="28.8" x14ac:dyDescent="0.3">
      <c r="B17" s="20">
        <v>2</v>
      </c>
      <c r="C17" s="20">
        <v>0</v>
      </c>
      <c r="D17" s="20" t="s">
        <v>38</v>
      </c>
      <c r="E17" s="20" t="s">
        <v>40</v>
      </c>
    </row>
    <row r="18" spans="2:5" ht="57.6" x14ac:dyDescent="0.3">
      <c r="B18" s="20">
        <v>3</v>
      </c>
      <c r="C18" s="20" t="s">
        <v>38</v>
      </c>
      <c r="D18" s="20" t="s">
        <v>38</v>
      </c>
      <c r="E18" s="20" t="s">
        <v>41</v>
      </c>
    </row>
    <row r="19" spans="2:5" ht="57.6" x14ac:dyDescent="0.3">
      <c r="B19" s="20">
        <v>4</v>
      </c>
      <c r="C19" s="20" t="s">
        <v>38</v>
      </c>
      <c r="D19" s="20">
        <v>0</v>
      </c>
      <c r="E19" s="20" t="s">
        <v>42</v>
      </c>
    </row>
    <row r="20" spans="2:5" ht="57.6" x14ac:dyDescent="0.3">
      <c r="B20" s="20">
        <v>5</v>
      </c>
      <c r="C20" s="20">
        <v>0</v>
      </c>
      <c r="D20" s="20">
        <v>0</v>
      </c>
      <c r="E20" s="20" t="s">
        <v>43</v>
      </c>
    </row>
    <row r="21" spans="2:5" ht="57.6" x14ac:dyDescent="0.3">
      <c r="B21" s="20">
        <v>6</v>
      </c>
      <c r="C21" s="20" t="s">
        <v>44</v>
      </c>
      <c r="D21" s="20">
        <v>0</v>
      </c>
      <c r="E21" s="20" t="s">
        <v>45</v>
      </c>
    </row>
    <row r="22" spans="2:5" ht="57.6" x14ac:dyDescent="0.3">
      <c r="B22" s="20">
        <v>7</v>
      </c>
      <c r="C22" s="20" t="s">
        <v>38</v>
      </c>
      <c r="D22" s="20" t="s">
        <v>44</v>
      </c>
      <c r="E22" s="20" t="s">
        <v>46</v>
      </c>
    </row>
    <row r="23" spans="2:5" ht="57.6" x14ac:dyDescent="0.3">
      <c r="B23" s="20">
        <v>8</v>
      </c>
      <c r="C23" s="20">
        <v>0</v>
      </c>
      <c r="D23" s="20" t="s">
        <v>44</v>
      </c>
      <c r="E23" s="20" t="s">
        <v>47</v>
      </c>
    </row>
    <row r="24" spans="2:5" ht="57.6" x14ac:dyDescent="0.3">
      <c r="B24" s="20">
        <v>9</v>
      </c>
      <c r="C24" s="20" t="s">
        <v>44</v>
      </c>
      <c r="D24" s="20" t="s">
        <v>44</v>
      </c>
      <c r="E24" s="20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2024-10-30T15:19:04Z</dcterms:created>
  <dcterms:modified xsi:type="dcterms:W3CDTF">2025-03-29T10:35:53Z</dcterms:modified>
</cp:coreProperties>
</file>